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bppserviceslimited.sharepoint.com/teams/AllActEdStaff/Shared Documents/CM1/2025 Materials/Mock Papers/Mock 1_to review/"/>
    </mc:Choice>
  </mc:AlternateContent>
  <xr:revisionPtr revIDLastSave="138" documentId="8_{8F4001A0-CA4C-43A0-9D0D-E24261651AB6}" xr6:coauthVersionLast="47" xr6:coauthVersionMax="47" xr10:uidLastSave="{11822C87-20E8-4CF9-BAD6-8002C3C832FF}"/>
  <bookViews>
    <workbookView minimized="1" xWindow="-20460" yWindow="3645" windowWidth="16200" windowHeight="9150" tabRatio="640" firstSheet="3" activeTab="3" xr2:uid="{00000000-000D-0000-FFFF-FFFF00000000}"/>
  </bookViews>
  <sheets>
    <sheet name="Instructions" sheetId="51" r:id="rId1"/>
    <sheet name="Details" sheetId="52" r:id="rId2"/>
    <sheet name="Q1 (i)" sheetId="30" r:id="rId3"/>
    <sheet name="Q1 (ii)" sheetId="31" r:id="rId4"/>
    <sheet name="Q1 (iii)" sheetId="32" r:id="rId5"/>
    <sheet name="Q1 (iv)" sheetId="33" r:id="rId6"/>
    <sheet name="Q1 (v)" sheetId="34" r:id="rId7"/>
    <sheet name="Q1 Answers" sheetId="28" r:id="rId8"/>
    <sheet name="Q2 Policy info &amp; basis" sheetId="35" r:id="rId9"/>
    <sheet name="Q2 Mortality table" sheetId="36" r:id="rId10"/>
    <sheet name="Q2 (i)" sheetId="37" r:id="rId11"/>
    <sheet name="Q2 (ii)" sheetId="50" r:id="rId12"/>
    <sheet name="Q2 (iii)" sheetId="38" r:id="rId13"/>
    <sheet name="Q2 (iv)" sheetId="39" r:id="rId14"/>
    <sheet name="Q2 Answers" sheetId="29" r:id="rId15"/>
    <sheet name="Q3 (i)" sheetId="53" r:id="rId16"/>
    <sheet name="Q3 (ii) and (iii)" sheetId="54" r:id="rId17"/>
    <sheet name="Q3 (iv)" sheetId="55" r:id="rId18"/>
    <sheet name="Q3 Answers" sheetId="56" r:id="rId19"/>
  </sheets>
  <definedNames>
    <definedName name="AR">'Q2 Policy info &amp; basis'!$B$8</definedName>
    <definedName name="b">'Q2 Policy info &amp; basis'!$B$9</definedName>
    <definedName name="f">'Q2 Policy info &amp; basis'!$B$20</definedName>
    <definedName name="fmc">'Q2 Policy info &amp; basis'!$B$10</definedName>
    <definedName name="g">'Q2 Policy info &amp; basis'!$B$16</definedName>
    <definedName name="i">'Q2 Policy info &amp; basis'!$B$17</definedName>
    <definedName name="ie">'Q2 Policy info &amp; basis'!$B$18</definedName>
    <definedName name="P">'Q2 Policy info &amp; basis'!$B$5</definedName>
    <definedName name="rdr">'Q2 Policy info &amp; basis'!$B$21</definedName>
    <definedName name="re">'Q2 Policy info &amp; basis'!$B$19</definedName>
    <definedName name="S">'Q2 Policy info &amp; basis'!$B$6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55" l="1"/>
  <c r="A14" i="54"/>
  <c r="A15" i="54" s="1"/>
  <c r="A15" i="55" l="1"/>
  <c r="A16" i="54"/>
  <c r="A16" i="55" l="1"/>
  <c r="A17" i="54"/>
  <c r="A18" i="54" l="1"/>
  <c r="A17" i="55"/>
  <c r="A19" i="54" l="1"/>
  <c r="A18" i="55"/>
  <c r="A19" i="55" l="1"/>
  <c r="A20" i="54"/>
  <c r="A21" i="54" l="1"/>
  <c r="A20" i="55"/>
  <c r="A22" i="54" l="1"/>
  <c r="A21" i="55"/>
  <c r="A22" i="55" l="1"/>
  <c r="A23" i="54"/>
  <c r="A23" i="55" l="1"/>
  <c r="A24" i="54"/>
  <c r="A25" i="54" l="1"/>
  <c r="A24" i="55"/>
  <c r="A25" i="55" l="1"/>
  <c r="A26" i="54"/>
  <c r="A26" i="55" l="1"/>
  <c r="A27" i="54"/>
  <c r="A27" i="55" l="1"/>
  <c r="A28" i="54"/>
  <c r="A29" i="54" l="1"/>
  <c r="A28" i="55"/>
  <c r="A30" i="54" l="1"/>
  <c r="A29" i="55"/>
  <c r="A31" i="54" l="1"/>
  <c r="A32" i="55"/>
  <c r="A32" i="54" l="1"/>
  <c r="A33" i="55"/>
  <c r="A34" i="55" l="1"/>
  <c r="A14" i="53" l="1"/>
  <c r="A15" i="53" s="1"/>
  <c r="A16" i="53" s="1"/>
  <c r="A17" i="53" s="1"/>
  <c r="A18" i="53" s="1"/>
  <c r="A19" i="53" s="1"/>
  <c r="A20" i="53" s="1"/>
  <c r="A21" i="53" s="1"/>
  <c r="A22" i="53" s="1"/>
  <c r="A23" i="53" s="1"/>
  <c r="A24" i="53" s="1"/>
  <c r="A25" i="53" s="1"/>
  <c r="A26" i="53" s="1"/>
  <c r="A27" i="53" s="1"/>
  <c r="A28" i="53" s="1"/>
  <c r="A29" i="53" s="1"/>
  <c r="A30" i="53" s="1"/>
  <c r="A31" i="53" s="1"/>
  <c r="A32" i="53" s="1"/>
  <c r="A1" i="52" l="1"/>
  <c r="A3" i="52"/>
  <c r="G107" i="36" l="1"/>
  <c r="G106" i="36"/>
  <c r="G105" i="36"/>
  <c r="G104" i="36"/>
  <c r="G103" i="36"/>
  <c r="G102" i="36"/>
  <c r="G101" i="36"/>
  <c r="G100" i="36"/>
  <c r="G99" i="36"/>
  <c r="G98" i="36"/>
  <c r="G97" i="36"/>
  <c r="G96" i="36"/>
  <c r="G95" i="36"/>
  <c r="G94" i="36"/>
  <c r="G93" i="36"/>
  <c r="G92" i="36"/>
  <c r="G91" i="36"/>
  <c r="G90" i="36"/>
  <c r="G89" i="36"/>
  <c r="G88" i="36"/>
  <c r="G87" i="36"/>
  <c r="G86" i="36"/>
  <c r="G85" i="36"/>
  <c r="G84" i="36"/>
  <c r="G83" i="36"/>
  <c r="G82" i="36"/>
  <c r="G81" i="36"/>
  <c r="G80" i="36"/>
  <c r="G79" i="36"/>
  <c r="G78" i="36"/>
  <c r="C78" i="36"/>
  <c r="F78" i="36" s="1"/>
  <c r="G77" i="36"/>
  <c r="C77" i="36"/>
  <c r="F77" i="36" s="1"/>
  <c r="B77" i="36"/>
  <c r="E77" i="36" s="1"/>
  <c r="G76" i="36"/>
  <c r="C76" i="36"/>
  <c r="F76" i="36" s="1"/>
  <c r="B76" i="36"/>
  <c r="E76" i="36" s="1"/>
  <c r="G75" i="36"/>
  <c r="C75" i="36"/>
  <c r="F75" i="36" s="1"/>
  <c r="B75" i="36"/>
  <c r="G74" i="36"/>
  <c r="C74" i="36"/>
  <c r="F74" i="36" s="1"/>
  <c r="B74" i="36"/>
  <c r="E74" i="36" s="1"/>
  <c r="G73" i="36"/>
  <c r="F73" i="36"/>
  <c r="C73" i="36"/>
  <c r="B73" i="36"/>
  <c r="E73" i="36" s="1"/>
  <c r="G72" i="36"/>
  <c r="C72" i="36"/>
  <c r="F72" i="36" s="1"/>
  <c r="B72" i="36"/>
  <c r="E72" i="36" s="1"/>
  <c r="G71" i="36"/>
  <c r="C71" i="36"/>
  <c r="F71" i="36" s="1"/>
  <c r="B71" i="36"/>
  <c r="G70" i="36"/>
  <c r="C70" i="36"/>
  <c r="F70" i="36" s="1"/>
  <c r="B70" i="36"/>
  <c r="G69" i="36"/>
  <c r="C69" i="36"/>
  <c r="F69" i="36" s="1"/>
  <c r="B69" i="36"/>
  <c r="G68" i="36"/>
  <c r="C68" i="36"/>
  <c r="F68" i="36" s="1"/>
  <c r="B68" i="36"/>
  <c r="G67" i="36"/>
  <c r="C67" i="36"/>
  <c r="F67" i="36" s="1"/>
  <c r="B67" i="36"/>
  <c r="G66" i="36"/>
  <c r="C66" i="36"/>
  <c r="F66" i="36" s="1"/>
  <c r="B66" i="36"/>
  <c r="E66" i="36" s="1"/>
  <c r="G65" i="36"/>
  <c r="C65" i="36"/>
  <c r="F65" i="36" s="1"/>
  <c r="B65" i="36"/>
  <c r="E65" i="36" s="1"/>
  <c r="G64" i="36"/>
  <c r="C64" i="36"/>
  <c r="F64" i="36" s="1"/>
  <c r="B64" i="36"/>
  <c r="G63" i="36"/>
  <c r="C63" i="36"/>
  <c r="F63" i="36" s="1"/>
  <c r="B63" i="36"/>
  <c r="G62" i="36"/>
  <c r="C62" i="36"/>
  <c r="F62" i="36" s="1"/>
  <c r="B62" i="36"/>
  <c r="G61" i="36"/>
  <c r="C61" i="36"/>
  <c r="F61" i="36" s="1"/>
  <c r="B61" i="36"/>
  <c r="G60" i="36"/>
  <c r="C60" i="36"/>
  <c r="F60" i="36" s="1"/>
  <c r="B60" i="36"/>
  <c r="E60" i="36" s="1"/>
  <c r="G59" i="36"/>
  <c r="C59" i="36"/>
  <c r="F59" i="36" s="1"/>
  <c r="B59" i="36"/>
  <c r="G58" i="36"/>
  <c r="C58" i="36"/>
  <c r="F58" i="36" s="1"/>
  <c r="B58" i="36"/>
  <c r="G57" i="36"/>
  <c r="C57" i="36"/>
  <c r="F57" i="36" s="1"/>
  <c r="B57" i="36"/>
  <c r="E57" i="36" s="1"/>
  <c r="G56" i="36"/>
  <c r="C56" i="36"/>
  <c r="F56" i="36" s="1"/>
  <c r="B56" i="36"/>
  <c r="G55" i="36"/>
  <c r="C55" i="36"/>
  <c r="F55" i="36" s="1"/>
  <c r="B55" i="36"/>
  <c r="G54" i="36"/>
  <c r="C54" i="36"/>
  <c r="F54" i="36" s="1"/>
  <c r="B54" i="36"/>
  <c r="G53" i="36"/>
  <c r="C53" i="36"/>
  <c r="F53" i="36" s="1"/>
  <c r="B53" i="36"/>
  <c r="G52" i="36"/>
  <c r="C52" i="36"/>
  <c r="F52" i="36" s="1"/>
  <c r="B52" i="36"/>
  <c r="E52" i="36" s="1"/>
  <c r="G51" i="36"/>
  <c r="C51" i="36"/>
  <c r="F51" i="36" s="1"/>
  <c r="B51" i="36"/>
  <c r="G50" i="36"/>
  <c r="F50" i="36"/>
  <c r="C50" i="36"/>
  <c r="B50" i="36"/>
  <c r="E50" i="36" s="1"/>
  <c r="G49" i="36"/>
  <c r="C49" i="36"/>
  <c r="F49" i="36" s="1"/>
  <c r="B49" i="36"/>
  <c r="G48" i="36"/>
  <c r="C48" i="36"/>
  <c r="F48" i="36" s="1"/>
  <c r="B48" i="36"/>
  <c r="G47" i="36"/>
  <c r="C47" i="36"/>
  <c r="F47" i="36" s="1"/>
  <c r="B47" i="36"/>
  <c r="E47" i="36" s="1"/>
  <c r="G46" i="36"/>
  <c r="F46" i="36"/>
  <c r="C46" i="36"/>
  <c r="B46" i="36"/>
  <c r="G45" i="36"/>
  <c r="C45" i="36"/>
  <c r="F45" i="36" s="1"/>
  <c r="B45" i="36"/>
  <c r="E45" i="36" s="1"/>
  <c r="G44" i="36"/>
  <c r="C44" i="36"/>
  <c r="F44" i="36" s="1"/>
  <c r="B44" i="36"/>
  <c r="E44" i="36" s="1"/>
  <c r="G43" i="36"/>
  <c r="C43" i="36"/>
  <c r="F43" i="36" s="1"/>
  <c r="B43" i="36"/>
  <c r="G42" i="36"/>
  <c r="C42" i="36"/>
  <c r="F42" i="36" s="1"/>
  <c r="B42" i="36"/>
  <c r="E42" i="36" s="1"/>
  <c r="G41" i="36"/>
  <c r="C41" i="36"/>
  <c r="F41" i="36" s="1"/>
  <c r="B41" i="36"/>
  <c r="G40" i="36"/>
  <c r="C40" i="36"/>
  <c r="F40" i="36" s="1"/>
  <c r="B40" i="36"/>
  <c r="E40" i="36" s="1"/>
  <c r="G39" i="36"/>
  <c r="C39" i="36"/>
  <c r="F39" i="36" s="1"/>
  <c r="B39" i="36"/>
  <c r="E39" i="36" s="1"/>
  <c r="G38" i="36"/>
  <c r="C38" i="36"/>
  <c r="F38" i="36" s="1"/>
  <c r="B38" i="36"/>
  <c r="G37" i="36"/>
  <c r="C37" i="36"/>
  <c r="F37" i="36" s="1"/>
  <c r="B37" i="36"/>
  <c r="E37" i="36" s="1"/>
  <c r="G36" i="36"/>
  <c r="C36" i="36"/>
  <c r="F36" i="36" s="1"/>
  <c r="B36" i="36"/>
  <c r="G35" i="36"/>
  <c r="C35" i="36"/>
  <c r="F35" i="36" s="1"/>
  <c r="B35" i="36"/>
  <c r="E35" i="36" s="1"/>
  <c r="G34" i="36"/>
  <c r="F34" i="36"/>
  <c r="C34" i="36"/>
  <c r="B34" i="36"/>
  <c r="G33" i="36"/>
  <c r="C33" i="36"/>
  <c r="F33" i="36" s="1"/>
  <c r="B33" i="36"/>
  <c r="E33" i="36" s="1"/>
  <c r="G32" i="36"/>
  <c r="C32" i="36"/>
  <c r="F32" i="36" s="1"/>
  <c r="B32" i="36"/>
  <c r="G31" i="36"/>
  <c r="C31" i="36"/>
  <c r="F31" i="36" s="1"/>
  <c r="B31" i="36"/>
  <c r="G30" i="36"/>
  <c r="C30" i="36"/>
  <c r="F30" i="36" s="1"/>
  <c r="B30" i="36"/>
  <c r="E30" i="36" s="1"/>
  <c r="G29" i="36"/>
  <c r="C29" i="36"/>
  <c r="F29" i="36" s="1"/>
  <c r="B29" i="36"/>
  <c r="G28" i="36"/>
  <c r="C28" i="36"/>
  <c r="F28" i="36" s="1"/>
  <c r="B28" i="36"/>
  <c r="E28" i="36" s="1"/>
  <c r="G27" i="36"/>
  <c r="C27" i="36"/>
  <c r="F27" i="36" s="1"/>
  <c r="B27" i="36"/>
  <c r="G26" i="36"/>
  <c r="C26" i="36"/>
  <c r="F26" i="36" s="1"/>
  <c r="B26" i="36"/>
  <c r="G25" i="36"/>
  <c r="F25" i="36"/>
  <c r="C25" i="36"/>
  <c r="B25" i="36"/>
  <c r="G24" i="36"/>
  <c r="C24" i="36"/>
  <c r="F24" i="36" s="1"/>
  <c r="B24" i="36"/>
  <c r="E24" i="36" s="1"/>
  <c r="G23" i="36"/>
  <c r="C23" i="36"/>
  <c r="F23" i="36" s="1"/>
  <c r="B23" i="36"/>
  <c r="G22" i="36"/>
  <c r="C22" i="36"/>
  <c r="F22" i="36" s="1"/>
  <c r="B22" i="36"/>
  <c r="G21" i="36"/>
  <c r="C21" i="36"/>
  <c r="F21" i="36" s="1"/>
  <c r="B21" i="36"/>
  <c r="E21" i="36" s="1"/>
  <c r="G20" i="36"/>
  <c r="C20" i="36"/>
  <c r="F20" i="36" s="1"/>
  <c r="B20" i="36"/>
  <c r="G19" i="36"/>
  <c r="C19" i="36"/>
  <c r="F19" i="36" s="1"/>
  <c r="B19" i="36"/>
  <c r="E19" i="36" s="1"/>
  <c r="G18" i="36"/>
  <c r="C18" i="36"/>
  <c r="F18" i="36" s="1"/>
  <c r="B18" i="36"/>
  <c r="G17" i="36"/>
  <c r="C17" i="36"/>
  <c r="F17" i="36" s="1"/>
  <c r="B17" i="36"/>
  <c r="E17" i="36" s="1"/>
  <c r="G16" i="36"/>
  <c r="F16" i="36"/>
  <c r="C16" i="36"/>
  <c r="B16" i="36"/>
  <c r="G15" i="36"/>
  <c r="C15" i="36"/>
  <c r="F15" i="36" s="1"/>
  <c r="B15" i="36"/>
  <c r="E15" i="36" s="1"/>
  <c r="G14" i="36"/>
  <c r="C14" i="36"/>
  <c r="F14" i="36" s="1"/>
  <c r="B14" i="36"/>
  <c r="G13" i="36"/>
  <c r="C13" i="36"/>
  <c r="F13" i="36" s="1"/>
  <c r="B13" i="36"/>
  <c r="G12" i="36"/>
  <c r="C12" i="36"/>
  <c r="F12" i="36" s="1"/>
  <c r="B12" i="36"/>
  <c r="E12" i="36" s="1"/>
  <c r="G11" i="36"/>
  <c r="C11" i="36"/>
  <c r="F11" i="36" s="1"/>
  <c r="B11" i="36"/>
  <c r="G10" i="36"/>
  <c r="C10" i="36"/>
  <c r="F10" i="36" s="1"/>
  <c r="B10" i="36"/>
  <c r="G9" i="36"/>
  <c r="F9" i="36"/>
  <c r="C9" i="36"/>
  <c r="B9" i="36"/>
  <c r="G8" i="36"/>
  <c r="C8" i="36"/>
  <c r="F8" i="36" s="1"/>
  <c r="B8" i="36"/>
  <c r="E8" i="36" s="1"/>
  <c r="G7" i="36"/>
  <c r="C7" i="36"/>
  <c r="F7" i="36" s="1"/>
  <c r="B7" i="36"/>
  <c r="G6" i="36"/>
  <c r="C6" i="36"/>
  <c r="F6" i="36" s="1"/>
  <c r="B6" i="36"/>
  <c r="G5" i="36"/>
  <c r="C5" i="36"/>
  <c r="F5" i="36" s="1"/>
  <c r="B5" i="36"/>
  <c r="E5" i="36" s="1"/>
  <c r="G4" i="36"/>
  <c r="B4" i="36"/>
  <c r="E4" i="36" s="1"/>
  <c r="E68" i="36" l="1"/>
  <c r="E71" i="36"/>
  <c r="E13" i="36"/>
  <c r="E20" i="36"/>
  <c r="E29" i="36"/>
  <c r="E31" i="36"/>
  <c r="E38" i="36"/>
  <c r="E69" i="36"/>
  <c r="E64" i="36"/>
  <c r="E11" i="36"/>
  <c r="E27" i="36"/>
  <c r="E43" i="36"/>
  <c r="E48" i="36"/>
  <c r="E53" i="36"/>
  <c r="E9" i="36"/>
  <c r="E16" i="36"/>
  <c r="E25" i="36"/>
  <c r="E34" i="36"/>
  <c r="E36" i="36"/>
  <c r="E41" i="36"/>
  <c r="E46" i="36"/>
  <c r="E56" i="36"/>
  <c r="E7" i="36"/>
  <c r="E23" i="36"/>
  <c r="E51" i="36"/>
  <c r="E59" i="36"/>
  <c r="E67" i="36"/>
  <c r="E49" i="36"/>
  <c r="E61" i="36"/>
  <c r="E55" i="36"/>
  <c r="E58" i="36"/>
  <c r="E63" i="36"/>
  <c r="E6" i="36"/>
  <c r="E10" i="36"/>
  <c r="E14" i="36"/>
  <c r="E18" i="36"/>
  <c r="E22" i="36"/>
  <c r="E26" i="36"/>
  <c r="E32" i="36"/>
  <c r="E54" i="36"/>
  <c r="E62" i="36"/>
  <c r="E70" i="36"/>
  <c r="E75" i="36"/>
  <c r="B13" i="33" l="1"/>
  <c r="C14" i="32"/>
  <c r="C15" i="32" s="1"/>
  <c r="C16" i="32" s="1"/>
  <c r="C17" i="32" s="1"/>
  <c r="C18" i="32" s="1"/>
  <c r="C14" i="31"/>
  <c r="C8" i="30"/>
  <c r="C19" i="32" l="1"/>
  <c r="C9" i="30"/>
  <c r="C15" i="31"/>
  <c r="B14" i="33"/>
  <c r="C10" i="30" l="1"/>
  <c r="C20" i="32"/>
  <c r="B15" i="33"/>
  <c r="C16" i="31"/>
  <c r="C21" i="32" l="1"/>
  <c r="C17" i="31"/>
  <c r="B16" i="33"/>
  <c r="C11" i="30"/>
  <c r="C18" i="31" l="1"/>
  <c r="C22" i="32"/>
  <c r="B17" i="33"/>
  <c r="C12" i="30"/>
  <c r="C13" i="30" l="1"/>
  <c r="B18" i="33"/>
  <c r="C23" i="32"/>
  <c r="C19" i="31"/>
  <c r="C20" i="31" l="1"/>
  <c r="C14" i="30"/>
  <c r="C24" i="32"/>
  <c r="B19" i="33"/>
  <c r="B20" i="33" l="1"/>
  <c r="C15" i="30"/>
  <c r="C21" i="31"/>
  <c r="C25" i="32"/>
  <c r="C26" i="32" l="1"/>
  <c r="B21" i="33"/>
  <c r="C22" i="31"/>
  <c r="C16" i="30"/>
  <c r="C23" i="31" l="1"/>
  <c r="C17" i="30"/>
  <c r="C27" i="32"/>
  <c r="B22" i="33"/>
  <c r="C24" i="31" l="1"/>
  <c r="C28" i="32"/>
  <c r="C18" i="30"/>
  <c r="B23" i="33"/>
  <c r="C25" i="31" l="1"/>
  <c r="C19" i="30"/>
  <c r="B24" i="33"/>
  <c r="C29" i="32"/>
  <c r="C20" i="30" l="1"/>
  <c r="C26" i="31"/>
  <c r="C30" i="32"/>
  <c r="B25" i="33"/>
  <c r="B26" i="33" l="1"/>
  <c r="C31" i="32"/>
  <c r="C27" i="31"/>
  <c r="C21" i="30"/>
  <c r="C22" i="30" l="1"/>
  <c r="C28" i="31"/>
  <c r="C32" i="32"/>
  <c r="B27" i="33"/>
  <c r="C29" i="31" l="1"/>
  <c r="B28" i="33"/>
  <c r="C33" i="32"/>
  <c r="C23" i="30"/>
  <c r="C34" i="32" l="1"/>
  <c r="B29" i="33"/>
  <c r="C24" i="30"/>
  <c r="C30" i="31"/>
  <c r="C35" i="32" l="1"/>
  <c r="C31" i="31"/>
  <c r="C25" i="30"/>
  <c r="B30" i="33"/>
  <c r="B31" i="33" l="1"/>
  <c r="C32" i="31"/>
  <c r="C36" i="32"/>
  <c r="C26" i="30"/>
  <c r="B32" i="33" l="1"/>
  <c r="C33" i="31"/>
  <c r="C37" i="32"/>
  <c r="C27" i="30"/>
  <c r="B33" i="33" l="1"/>
  <c r="C34" i="31"/>
  <c r="C28" i="30"/>
  <c r="C38" i="32"/>
  <c r="C35" i="31" l="1"/>
  <c r="C29" i="30"/>
  <c r="B34" i="33"/>
  <c r="C39" i="32"/>
  <c r="C36" i="31" l="1"/>
  <c r="B35" i="33"/>
  <c r="C30" i="30"/>
  <c r="C40" i="32"/>
  <c r="C31" i="30" l="1"/>
  <c r="C41" i="32"/>
  <c r="B36" i="33"/>
  <c r="C37" i="31"/>
  <c r="C32" i="30" l="1"/>
  <c r="C42" i="32"/>
  <c r="C38" i="31"/>
  <c r="B37" i="33"/>
  <c r="B38" i="33" l="1"/>
  <c r="C33" i="30"/>
  <c r="C43" i="32"/>
  <c r="C39" i="31"/>
  <c r="C40" i="31" l="1"/>
  <c r="C44" i="32"/>
  <c r="C34" i="30"/>
  <c r="B39" i="33"/>
  <c r="C41" i="31" l="1"/>
  <c r="C45" i="32"/>
  <c r="B40" i="33"/>
  <c r="C35" i="30"/>
  <c r="B41" i="33" l="1"/>
  <c r="C36" i="30"/>
  <c r="C46" i="32"/>
  <c r="C42" i="31"/>
  <c r="C47" i="32" l="1"/>
  <c r="B42" i="33"/>
  <c r="C43" i="31"/>
  <c r="C44" i="31" l="1"/>
  <c r="C48" i="32"/>
  <c r="B43" i="33"/>
  <c r="B44" i="33" l="1"/>
  <c r="C49" i="32"/>
  <c r="C45" i="31"/>
  <c r="B45" i="33" l="1"/>
  <c r="C46" i="31"/>
  <c r="C50" i="32"/>
  <c r="C47" i="31" l="1"/>
  <c r="B46" i="33"/>
  <c r="C51" i="32"/>
  <c r="C48" i="31" l="1"/>
  <c r="B47" i="33"/>
  <c r="C52" i="32"/>
  <c r="B48" i="33" l="1"/>
  <c r="C49" i="31"/>
  <c r="C50" i="31" l="1"/>
  <c r="B49" i="33"/>
  <c r="C51" i="31" l="1"/>
  <c r="B50" i="33"/>
  <c r="B51" i="33" l="1"/>
  <c r="C52"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Apollo Group User</author>
  </authors>
  <commentList>
    <comment ref="B7" authorId="0" shapeId="0" xr:uid="{00000000-0006-0000-0100-000001000000}">
      <text>
        <r>
          <rPr>
            <sz val="9"/>
            <color indexed="81"/>
            <rFont val="Tahoma"/>
            <family val="2"/>
          </rPr>
          <t>Note: Your ActEd Student Number is printed on all personal correspondence from ActEd.  Quoting it will help us to process your scripts quickly.  If you do not know your ActEd Student Number, please email us at ActEd@bpp.com.    Your ActEd Student Number is not the same as your IFoA Actuarial Reference Number or ARN.</t>
        </r>
      </text>
    </comment>
  </commentList>
</comments>
</file>

<file path=xl/sharedStrings.xml><?xml version="1.0" encoding="utf-8"?>
<sst xmlns="http://schemas.openxmlformats.org/spreadsheetml/2006/main" count="300" uniqueCount="183">
  <si>
    <t>Please note:</t>
  </si>
  <si>
    <t>–   </t>
  </si>
  <si>
    <t>Enter the information required in the 'Details' worksheet.</t>
  </si>
  <si>
    <t>Submission for marking</t>
  </si>
  <si>
    <t>(iii)</t>
  </si>
  <si>
    <t>If you are having your mock exam marked by ActEd, please follow these instructions carefully:</t>
  </si>
  <si>
    <t>Completing your mock</t>
  </si>
  <si>
    <t>Are you allowed extra time or other special conditions in the profession’s exams</t>
  </si>
  <si>
    <r>
      <t>Note:</t>
    </r>
    <r>
      <rPr>
        <sz val="10"/>
        <color theme="1"/>
        <rFont val="Calibri"/>
        <family val="2"/>
        <scheme val="minor"/>
      </rPr>
      <t xml:space="preserve">  If you take more than 1¾ hours, you should indicate how much you completed</t>
    </r>
  </si>
  <si>
    <t xml:space="preserve">             within this exam time so that the marker can provide useful feedback on your progress.</t>
  </si>
  <si>
    <t xml:space="preserve">Completed your ActEd Student Number in the box above? </t>
  </si>
  <si>
    <t>Interest rate</t>
  </si>
  <si>
    <t>Year</t>
  </si>
  <si>
    <t>Liab cashflow</t>
  </si>
  <si>
    <t>Q1 Summary of answers</t>
  </si>
  <si>
    <t>Q2 Summary of answers</t>
  </si>
  <si>
    <t>(i)  Present value, discounted mean term and convexity of liabilities</t>
  </si>
  <si>
    <t>(ii)  Show Redington's first two conditions are met</t>
  </si>
  <si>
    <t>Bond A coupon rate</t>
  </si>
  <si>
    <t>Bond A redemption rate</t>
  </si>
  <si>
    <t>Bond B coupon rate</t>
  </si>
  <si>
    <t xml:space="preserve">Bond B redemption rate </t>
  </si>
  <si>
    <t>Nominal of Bond A</t>
  </si>
  <si>
    <t>Nominal of Bond B</t>
  </si>
  <si>
    <t>(iii)  Convexity of asset cashflows</t>
  </si>
  <si>
    <r>
      <t>(iv)  Company's surplus at interest rates of 4%, 5% and 6%</t>
    </r>
    <r>
      <rPr>
        <i/>
        <sz val="16"/>
        <color theme="1"/>
        <rFont val="Calibri"/>
        <family val="2"/>
        <scheme val="minor"/>
      </rPr>
      <t xml:space="preserve"> pa</t>
    </r>
    <r>
      <rPr>
        <sz val="16"/>
        <color theme="1"/>
        <rFont val="Calibri"/>
        <family val="2"/>
        <scheme val="minor"/>
      </rPr>
      <t xml:space="preserve"> effective</t>
    </r>
  </si>
  <si>
    <t>(v)  Comment on results</t>
  </si>
  <si>
    <t>Total asset cashflow</t>
  </si>
  <si>
    <t>(i)(a)</t>
  </si>
  <si>
    <t>(i)(b)</t>
  </si>
  <si>
    <t>(i)(c)</t>
  </si>
  <si>
    <t>(iv)(a)</t>
  </si>
  <si>
    <t>(iv)(b)</t>
  </si>
  <si>
    <t>(iv)(c)</t>
  </si>
  <si>
    <t>There is an 'Answers' sheet for each question. Your final answers should be put on these sheets in the cells indicated.</t>
  </si>
  <si>
    <t>(v)(a)</t>
  </si>
  <si>
    <t>(v)(b)</t>
  </si>
  <si>
    <t>Policy information and basis</t>
  </si>
  <si>
    <t>Policy information and charging structure</t>
  </si>
  <si>
    <t>Premium</t>
  </si>
  <si>
    <t>payable annually in advance</t>
  </si>
  <si>
    <t>Minimum death benefit</t>
  </si>
  <si>
    <t>Allocation rate</t>
  </si>
  <si>
    <t>&lt;100%</t>
  </si>
  <si>
    <t>of the first year's premium, varying according to the maturity bonus chosen by the policyholder</t>
  </si>
  <si>
    <t>of the premium in all other years</t>
  </si>
  <si>
    <t>Bid-offer spread</t>
  </si>
  <si>
    <t>of the unit fund value deducted at the end of each year</t>
  </si>
  <si>
    <t>Profit testing and reserving basis</t>
  </si>
  <si>
    <t>Mortality</t>
  </si>
  <si>
    <t>AM92 Select</t>
  </si>
  <si>
    <t>as provided on the 'Q2 Mortality table' sheet</t>
  </si>
  <si>
    <t>Unit fund growth rate</t>
  </si>
  <si>
    <t>per annum</t>
  </si>
  <si>
    <t>Interest earned on non-unit cashflows</t>
  </si>
  <si>
    <t>Initial expenses</t>
  </si>
  <si>
    <t>Renewal expenses</t>
  </si>
  <si>
    <t>payable at the start of each year except the first, plus inflation applying from policy outset</t>
  </si>
  <si>
    <t>Renewal expenses inflation</t>
  </si>
  <si>
    <t>Risk discount rate</t>
  </si>
  <si>
    <t>Mortality table</t>
  </si>
  <si>
    <t>Age</t>
  </si>
  <si>
    <t>l[x]</t>
  </si>
  <si>
    <t>l[x-1]+1</t>
  </si>
  <si>
    <t>lx</t>
  </si>
  <si>
    <t>q[x]</t>
  </si>
  <si>
    <t>q[x-1]+1</t>
  </si>
  <si>
    <t>qx</t>
  </si>
  <si>
    <t>Maturity bonus</t>
  </si>
  <si>
    <t>First year allocation rate</t>
  </si>
  <si>
    <t xml:space="preserve">Cashflow projection </t>
  </si>
  <si>
    <t>NUR</t>
  </si>
  <si>
    <t>Profit calculation</t>
  </si>
  <si>
    <t xml:space="preserve">Cost of </t>
  </si>
  <si>
    <t>Profit on</t>
  </si>
  <si>
    <t>Death</t>
  </si>
  <si>
    <t xml:space="preserve">Survival </t>
  </si>
  <si>
    <t>Maturity</t>
  </si>
  <si>
    <t>Interest</t>
  </si>
  <si>
    <t>Profit</t>
  </si>
  <si>
    <t>allocation</t>
  </si>
  <si>
    <t>FMC</t>
  </si>
  <si>
    <t>Expenses</t>
  </si>
  <si>
    <t>rate</t>
  </si>
  <si>
    <t>cost</t>
  </si>
  <si>
    <t>Cashflow</t>
  </si>
  <si>
    <t>vector</t>
  </si>
  <si>
    <t>force</t>
  </si>
  <si>
    <t>Discount</t>
  </si>
  <si>
    <t>EPV</t>
  </si>
  <si>
    <t>Mock exam marking is not included in the price of the course materials.  Please purchase Mock Exam Marking or a Marking Voucher before submitting your script.</t>
  </si>
  <si>
    <r>
      <t>per annum (</t>
    </r>
    <r>
      <rPr>
        <i/>
        <sz val="11"/>
        <rFont val="Calibri"/>
        <family val="2"/>
        <scheme val="minor"/>
      </rPr>
      <t>eg</t>
    </r>
    <r>
      <rPr>
        <sz val="11"/>
        <rFont val="Calibri"/>
        <family val="2"/>
        <scheme val="minor"/>
      </rPr>
      <t xml:space="preserve"> the renewal expenses payable at time 1 are 50*1.02)</t>
    </r>
  </si>
  <si>
    <t>Fund management charge (FMC)</t>
  </si>
  <si>
    <t xml:space="preserve">Unit fund (UF) projection </t>
  </si>
  <si>
    <t>UF at start</t>
  </si>
  <si>
    <t>of year</t>
  </si>
  <si>
    <t>UF at end of year</t>
  </si>
  <si>
    <t>before FMC</t>
  </si>
  <si>
    <t>after FMC</t>
  </si>
  <si>
    <t>Non-unit reserves (NUR)</t>
  </si>
  <si>
    <t>at start of year</t>
  </si>
  <si>
    <t>prob in</t>
  </si>
  <si>
    <t>on NUR</t>
  </si>
  <si>
    <t>Cost of end of</t>
  </si>
  <si>
    <t>year NUR</t>
  </si>
  <si>
    <t>signature</t>
  </si>
  <si>
    <t>Start year</t>
  </si>
  <si>
    <t>prob</t>
  </si>
  <si>
    <t>Filled in the 'Answers' sheet for each question?</t>
  </si>
  <si>
    <t>Subject CM1: Mock Exam Paper B</t>
  </si>
  <si>
    <r>
      <rPr>
        <b/>
        <sz val="11"/>
        <color rgb="FF000000"/>
        <rFont val="Calibri"/>
        <family val="2"/>
        <scheme val="minor"/>
      </rPr>
      <t xml:space="preserve">Enter your answers in this Excel document. </t>
    </r>
    <r>
      <rPr>
        <sz val="11"/>
        <color rgb="FF000000"/>
        <rFont val="Calibri"/>
        <family val="2"/>
        <scheme val="minor"/>
      </rPr>
      <t xml:space="preserve"> </t>
    </r>
  </si>
  <si>
    <t>Begin your answer to each part of each question in the appropriate sheet (tab).  Some of these sheets include an example layout for your workings, but you may choose to use an alternative layout.</t>
  </si>
  <si>
    <t>We only accept Excel files produced in Office 2010 or later.</t>
  </si>
  <si>
    <t>Submitted mocks will not be marked if any of the files are suspected to have been affected by a computer virus or to have been corrupted.</t>
  </si>
  <si>
    <t>(if you wish to share this information)?</t>
  </si>
  <si>
    <t xml:space="preserve">Time to do mock  (see Note below): </t>
  </si>
  <si>
    <t>Please tick the following checklist so that your script can be marked quickly.  Have you:</t>
  </si>
  <si>
    <t>you should attempt all of the questions.</t>
  </si>
  <si>
    <t>(i) Expected non-unit cashflows</t>
  </si>
  <si>
    <t>(iii) Comments</t>
  </si>
  <si>
    <t>(iv) First year allocation rate and projected maturity value for maturity bonus of 3%</t>
  </si>
  <si>
    <t>Have you used the solutions to this mock?</t>
  </si>
  <si>
    <t xml:space="preserve">Recorded your time taken and whether you have used the solutions? </t>
  </si>
  <si>
    <t>Entered your answers at the end of this document, starting each question part on a new sheet?</t>
  </si>
  <si>
    <t>If Yes, you can provide further information on the extra time / other conditions if you wish:</t>
  </si>
  <si>
    <t>(i)</t>
  </si>
  <si>
    <t>(ii)</t>
  </si>
  <si>
    <t>(vi)(a)</t>
  </si>
  <si>
    <t>(vi)(b)</t>
  </si>
  <si>
    <t>(ii) Net present value</t>
  </si>
  <si>
    <r>
      <t>the time allowed for this mock exam is 1¾</t>
    </r>
    <r>
      <rPr>
        <sz val="10"/>
        <rFont val="Arial"/>
        <family val="2"/>
      </rPr>
      <t xml:space="preserve"> hours</t>
    </r>
  </si>
  <si>
    <t>Submit your completed Excel file to The Hub, following the instructions given at the start of the questions document.</t>
  </si>
  <si>
    <r>
      <t xml:space="preserve">You will not be able to submit a script on The Hub after the deadline date (set out on our website at </t>
    </r>
    <r>
      <rPr>
        <b/>
        <sz val="11"/>
        <color rgb="FF000000"/>
        <rFont val="Calibri"/>
        <family val="2"/>
        <scheme val="minor"/>
      </rPr>
      <t>ActEd.co.uk</t>
    </r>
    <r>
      <rPr>
        <sz val="11"/>
        <color rgb="FF000000"/>
        <rFont val="Calibri"/>
        <family val="2"/>
        <scheme val="minor"/>
      </rPr>
      <t xml:space="preserve">: Products, Marking, Deadlines), unless you are using a Marking Voucher.  </t>
    </r>
  </si>
  <si>
    <t>If you are using a Marking Voucher, then please make sure that you submit your script by the Marking Voucher deadline date to give us enough time to mark and return the script before the exam.</t>
  </si>
  <si>
    <t>Replaced '12345' with your ActEd Student Number in the title of this file?</t>
  </si>
  <si>
    <t>ActEd Student Number:</t>
  </si>
  <si>
    <t>Checked that you have a valid Marking Voucher or have ordered Mock Marking?</t>
  </si>
  <si>
    <r>
      <rPr>
        <b/>
        <sz val="18"/>
        <rFont val="Calibri"/>
        <family val="2"/>
        <scheme val="minor"/>
      </rPr>
      <t>2025</t>
    </r>
    <r>
      <rPr>
        <b/>
        <sz val="18"/>
        <color rgb="FF000000"/>
        <rFont val="Calibri"/>
        <family val="2"/>
        <scheme val="minor"/>
      </rPr>
      <t xml:space="preserve"> Examinations</t>
    </r>
  </si>
  <si>
    <r>
      <t>Save this document with the title ‘CM1</t>
    </r>
    <r>
      <rPr>
        <b/>
        <sz val="11"/>
        <color theme="1"/>
        <rFont val="Calibri"/>
        <family val="2"/>
        <scheme val="minor"/>
      </rPr>
      <t xml:space="preserve"> Mock Exam Paper B </t>
    </r>
    <r>
      <rPr>
        <b/>
        <sz val="11"/>
        <rFont val="Calibri"/>
        <family val="2"/>
        <scheme val="minor"/>
      </rPr>
      <t>2025</t>
    </r>
    <r>
      <rPr>
        <b/>
        <sz val="11"/>
        <color theme="1"/>
        <rFont val="Calibri"/>
        <family val="2"/>
        <scheme val="minor"/>
      </rPr>
      <t xml:space="preserve"> Answers 12345’, inserting your ActEd Student Number for 12345.  Failing to do this will delay your marking.</t>
    </r>
  </si>
  <si>
    <r>
      <t xml:space="preserve">We only accept the current version of mock exams for marking, and so you can only submit this mock in the sessions leading to the </t>
    </r>
    <r>
      <rPr>
        <sz val="11"/>
        <rFont val="Calibri"/>
        <family val="2"/>
        <scheme val="minor"/>
      </rPr>
      <t>2025</t>
    </r>
    <r>
      <rPr>
        <sz val="11"/>
        <color rgb="FF000000"/>
        <rFont val="Calibri"/>
        <family val="2"/>
        <scheme val="minor"/>
      </rPr>
      <t xml:space="preserve"> exams.</t>
    </r>
  </si>
  <si>
    <r>
      <t xml:space="preserve">Checked that you are using the latest version of the mock exam, </t>
    </r>
    <r>
      <rPr>
        <i/>
        <sz val="10"/>
        <color theme="1"/>
        <rFont val="Calibri"/>
        <family val="2"/>
        <scheme val="minor"/>
      </rPr>
      <t>ie</t>
    </r>
    <r>
      <rPr>
        <sz val="10"/>
        <color theme="1"/>
        <rFont val="Calibri"/>
        <family val="2"/>
        <scheme val="minor"/>
      </rPr>
      <t xml:space="preserve"> </t>
    </r>
    <r>
      <rPr>
        <sz val="10"/>
        <rFont val="Calibri"/>
        <family val="2"/>
        <scheme val="minor"/>
      </rPr>
      <t>2025</t>
    </r>
    <r>
      <rPr>
        <sz val="10"/>
        <color theme="1"/>
        <rFont val="Calibri"/>
        <family val="2"/>
        <scheme val="minor"/>
      </rPr>
      <t xml:space="preserve"> for the sessions leading to the </t>
    </r>
    <r>
      <rPr>
        <sz val="10"/>
        <rFont val="Calibri"/>
        <family val="2"/>
        <scheme val="minor"/>
      </rPr>
      <t>2025</t>
    </r>
    <r>
      <rPr>
        <sz val="10"/>
        <color theme="1"/>
        <rFont val="Calibri"/>
        <family val="2"/>
        <scheme val="minor"/>
      </rPr>
      <t xml:space="preserve"> exams? </t>
    </r>
  </si>
  <si>
    <r>
      <t xml:space="preserve">(i) Discounted payback period and net present value at 7% </t>
    </r>
    <r>
      <rPr>
        <i/>
        <sz val="16"/>
        <rFont val="Calibri"/>
        <family val="2"/>
        <scheme val="minor"/>
      </rPr>
      <t>pa</t>
    </r>
  </si>
  <si>
    <t>Rent increases</t>
  </si>
  <si>
    <t>per three years</t>
  </si>
  <si>
    <t>Salary increases</t>
  </si>
  <si>
    <t>pa</t>
  </si>
  <si>
    <t>Initial salary level</t>
  </si>
  <si>
    <t>Revenue increase rates</t>
  </si>
  <si>
    <t>pa after 8 years</t>
  </si>
  <si>
    <t>pa after 12 years</t>
  </si>
  <si>
    <t>CASHFLOWS AT START OF YEAR</t>
  </si>
  <si>
    <t>CASHFLOWS AT END OF YEAR</t>
  </si>
  <si>
    <t>Present</t>
  </si>
  <si>
    <t>Total</t>
  </si>
  <si>
    <t xml:space="preserve">NPV if </t>
  </si>
  <si>
    <t>Cost of</t>
  </si>
  <si>
    <t>value of</t>
  </si>
  <si>
    <t>terminates</t>
  </si>
  <si>
    <t>equipment</t>
  </si>
  <si>
    <t>Rent</t>
  </si>
  <si>
    <t>Salaries</t>
  </si>
  <si>
    <t>outgo</t>
  </si>
  <si>
    <t>factor</t>
  </si>
  <si>
    <t>Revenue</t>
  </si>
  <si>
    <t>income</t>
  </si>
  <si>
    <t>value</t>
  </si>
  <si>
    <t>at end yr</t>
  </si>
  <si>
    <r>
      <t xml:space="preserve">(ii) Discounted payback period and net present value at 9% </t>
    </r>
    <r>
      <rPr>
        <i/>
        <sz val="16"/>
        <rFont val="Calibri"/>
        <family val="2"/>
        <scheme val="minor"/>
      </rPr>
      <t>pa</t>
    </r>
    <r>
      <rPr>
        <sz val="16"/>
        <rFont val="Calibri"/>
        <family val="2"/>
        <scheme val="minor"/>
      </rPr>
      <t xml:space="preserve"> / (iii) Effect of overdraft when interest rate = risk discount rate</t>
    </r>
  </si>
  <si>
    <r>
      <t xml:space="preserve">(iv) Net present value at 7% </t>
    </r>
    <r>
      <rPr>
        <i/>
        <sz val="16"/>
        <rFont val="Calibri"/>
        <family val="2"/>
        <scheme val="minor"/>
      </rPr>
      <t>pa</t>
    </r>
    <r>
      <rPr>
        <sz val="16"/>
        <rFont val="Calibri"/>
        <family val="2"/>
        <scheme val="minor"/>
      </rPr>
      <t xml:space="preserve"> with overdraft</t>
    </r>
  </si>
  <si>
    <t>Overdraft rate</t>
  </si>
  <si>
    <t>END YEAR</t>
  </si>
  <si>
    <t>ACCUMULATED VALUES</t>
  </si>
  <si>
    <t>CASHFLOW</t>
  </si>
  <si>
    <t xml:space="preserve"> Accumulated 1-year</t>
  </si>
  <si>
    <t>cashflows to end of year:</t>
  </si>
  <si>
    <t>acc val to</t>
  </si>
  <si>
    <t>Equipment</t>
  </si>
  <si>
    <t>Outgo</t>
  </si>
  <si>
    <t>end of year</t>
  </si>
  <si>
    <t>at RDR</t>
  </si>
  <si>
    <t>(iv)</t>
  </si>
  <si>
    <t>Q3 Summary of answers</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</si>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</sst>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_-;\-* #,##0_-;_-* &quot;-&quot;??_-;_-@_-"/>
    <numFmt numFmtId="165" formatCode="0.0000"/>
    <numFmt numFmtId="166" formatCode="0.000000"/>
  </numFmts>
  <fonts count="41" x14ac:knownFonts="1">
    <font>
      <sz val="10"/>
      <name val="Arial"/>
    </font>
    <font>
      <sz val="11"/>
      <color theme="1"/>
      <name val="Calibri"/>
      <family val="2"/>
      <scheme val="minor"/>
    </font>
    <font>
      <sz val="16"/>
      <color theme="1"/>
      <name val="Calibri"/>
      <family val="2"/>
      <scheme val="minor"/>
    </font>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name val="Calibri"/>
      <family val="2"/>
      <scheme val="minor"/>
    </font>
    <font>
      <b/>
      <sz val="11"/>
      <color theme="1"/>
      <name val="Calibri"/>
      <family val="2"/>
      <scheme val="minor"/>
    </font>
    <font>
      <b/>
      <i/>
      <sz val="18"/>
      <color rgb="FF000000"/>
      <name val="Calibri"/>
      <family val="2"/>
      <scheme val="minor"/>
    </font>
    <font>
      <sz val="11"/>
      <color rgb="FF000000"/>
      <name val="Times New Roman"/>
      <family val="1"/>
    </font>
    <font>
      <b/>
      <sz val="11"/>
      <color rgb="FF000000"/>
      <name val="Calibri"/>
      <family val="2"/>
      <scheme val="minor"/>
    </font>
    <font>
      <sz val="11"/>
      <color rgb="FF000000"/>
      <name val="Calibri"/>
      <family val="2"/>
      <scheme val="minor"/>
    </font>
    <font>
      <sz val="10"/>
      <color theme="1"/>
      <name val="Calibri"/>
      <family val="2"/>
      <scheme val="minor"/>
    </font>
    <font>
      <b/>
      <sz val="10"/>
      <color theme="1"/>
      <name val="Calibri"/>
      <family val="2"/>
      <scheme val="minor"/>
    </font>
    <font>
      <sz val="9"/>
      <color indexed="81"/>
      <name val="Tahoma"/>
      <family val="2"/>
    </font>
    <font>
      <sz val="8"/>
      <color rgb="FF000000"/>
      <name val="Segoe UI"/>
      <family val="2"/>
    </font>
    <font>
      <sz val="10"/>
      <name val="Arial"/>
      <family val="2"/>
    </font>
    <font>
      <sz val="10"/>
      <name val="Calibri"/>
      <family val="2"/>
      <scheme val="minor"/>
    </font>
    <font>
      <sz val="11"/>
      <name val="Calibri"/>
      <family val="2"/>
      <scheme val="minor"/>
    </font>
    <font>
      <sz val="11"/>
      <color rgb="FFFF0000"/>
      <name val="Calibri"/>
      <family val="2"/>
      <scheme val="minor"/>
    </font>
    <font>
      <sz val="16"/>
      <color theme="1"/>
      <name val="Calibri"/>
      <family val="2"/>
      <scheme val="minor"/>
    </font>
    <font>
      <i/>
      <sz val="16"/>
      <color theme="1"/>
      <name val="Calibri"/>
      <family val="2"/>
      <scheme val="minor"/>
    </font>
    <font>
      <i/>
      <sz val="11"/>
      <name val="Calibri"/>
      <family val="2"/>
      <scheme val="minor"/>
    </font>
    <font>
      <b/>
      <sz val="20"/>
      <color rgb="FF000000"/>
      <name val="Calibri"/>
      <family val="2"/>
      <scheme val="minor"/>
    </font>
    <font>
      <b/>
      <sz val="18"/>
      <color rgb="FF000000"/>
      <name val="Calibri"/>
      <family val="2"/>
      <scheme val="minor"/>
    </font>
    <font>
      <b/>
      <sz val="18"/>
      <name val="Calibri"/>
      <family val="2"/>
      <scheme val="minor"/>
    </font>
    <font>
      <b/>
      <sz val="11"/>
      <name val="Calibri"/>
      <family val="2"/>
      <scheme val="minor"/>
    </font>
    <font>
      <i/>
      <sz val="10"/>
      <color theme="1"/>
      <name val="Calibri"/>
      <family val="2"/>
      <scheme val="minor"/>
    </font>
    <font>
      <i/>
      <sz val="16"/>
      <name val="Calibri"/>
      <family val="2"/>
      <scheme val="minor"/>
    </font>
    <font>
      <u/>
      <sz val="11"/>
      <color theme="1"/>
      <name val="Calibri"/>
      <family val="2"/>
      <scheme val="minor"/>
    </font>
    <font>
      <sz val="11"/>
      <name val="Calibri"/>
      <family val="2"/>
    </font>
    <font>
      <i/>
      <sz val="11"/>
      <color rgb="FFFF0000"/>
      <name val="Calibri"/>
      <family val="2"/>
      <scheme val="minor"/>
    </font>
  </fonts>
  <fills count="5">
    <fill>
      <patternFill patternType="none"/>
    </fill>
    <fill>
      <patternFill patternType="gray125"/>
    </fill>
    <fill>
      <patternFill patternType="solid">
        <fgColor rgb="FF91C6F7"/>
        <bgColor indexed="64"/>
      </patternFill>
    </fill>
    <fill>
      <patternFill patternType="solid">
        <fgColor theme="7" tint="0.79998168889431442"/>
        <bgColor indexed="64"/>
      </patternFill>
    </fill>
    <fill>
      <patternFill patternType="solid">
        <fgColor theme="5" tint="0.79998168889431442"/>
        <bgColor indexed="64"/>
      </patternFill>
    </fill>
  </fills>
  <borders count="25">
    <border>
      <left/>
      <right/>
      <top/>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18">
    <xf numFmtId="0" fontId="0" fillId="0" borderId="0"/>
    <xf numFmtId="0" fontId="14" fillId="0" borderId="0"/>
    <xf numFmtId="0" fontId="13" fillId="0" borderId="0"/>
    <xf numFmtId="0" fontId="12" fillId="0" borderId="0"/>
    <xf numFmtId="0" fontId="11" fillId="0" borderId="0"/>
    <xf numFmtId="0" fontId="25" fillId="0" borderId="0"/>
    <xf numFmtId="0" fontId="9" fillId="0" borderId="0"/>
    <xf numFmtId="0" fontId="8" fillId="0" borderId="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5" fillId="0" borderId="0"/>
    <xf numFmtId="9" fontId="5" fillId="0" borderId="0" applyFont="0" applyFill="0" applyBorder="0" applyAlignment="0" applyProtection="0"/>
    <xf numFmtId="0" fontId="4" fillId="0" borderId="0"/>
    <xf numFmtId="0" fontId="4" fillId="0" borderId="0"/>
    <xf numFmtId="0" fontId="25" fillId="0" borderId="0"/>
    <xf numFmtId="0" fontId="4" fillId="0" borderId="0"/>
    <xf numFmtId="0" fontId="1" fillId="0" borderId="0"/>
  </cellStyleXfs>
  <cellXfs count="203">
    <xf numFmtId="0" fontId="0" fillId="0" borderId="0" xfId="0"/>
    <xf numFmtId="0" fontId="15" fillId="2" borderId="0" xfId="0" applyFont="1" applyFill="1"/>
    <xf numFmtId="0" fontId="14" fillId="0" borderId="0" xfId="1"/>
    <xf numFmtId="0" fontId="10" fillId="0" borderId="0" xfId="1" applyFont="1"/>
    <xf numFmtId="0" fontId="15" fillId="2" borderId="0" xfId="5" applyFont="1" applyFill="1"/>
    <xf numFmtId="0" fontId="9" fillId="0" borderId="0" xfId="6" applyFont="1"/>
    <xf numFmtId="0" fontId="9" fillId="0" borderId="0" xfId="6"/>
    <xf numFmtId="0" fontId="29" fillId="2" borderId="0" xfId="7" applyFont="1" applyFill="1"/>
    <xf numFmtId="2" fontId="16" fillId="0" borderId="0" xfId="7" applyNumberFormat="1" applyFont="1"/>
    <xf numFmtId="0" fontId="28" fillId="0" borderId="0" xfId="7" applyFont="1"/>
    <xf numFmtId="0" fontId="8" fillId="2" borderId="0" xfId="7" applyFont="1" applyFill="1"/>
    <xf numFmtId="0" fontId="8" fillId="0" borderId="3" xfId="7" applyFont="1" applyBorder="1"/>
    <xf numFmtId="0" fontId="8" fillId="0" borderId="0" xfId="7" applyFont="1"/>
    <xf numFmtId="44" fontId="8" fillId="0" borderId="0" xfId="7" applyNumberFormat="1" applyFont="1"/>
    <xf numFmtId="0" fontId="8" fillId="0" borderId="0" xfId="7" applyNumberFormat="1" applyFont="1"/>
    <xf numFmtId="2" fontId="8" fillId="0" borderId="0" xfId="7" applyNumberFormat="1" applyFont="1"/>
    <xf numFmtId="165" fontId="8" fillId="0" borderId="0" xfId="7" applyNumberFormat="1" applyFont="1"/>
    <xf numFmtId="9" fontId="26" fillId="4" borderId="3" xfId="8" applyFont="1" applyFill="1" applyBorder="1"/>
    <xf numFmtId="9" fontId="26" fillId="0" borderId="0" xfId="8" applyFont="1"/>
    <xf numFmtId="164" fontId="26" fillId="4" borderId="3" xfId="9" applyNumberFormat="1" applyFont="1" applyFill="1" applyBorder="1"/>
    <xf numFmtId="9" fontId="8" fillId="4" borderId="3" xfId="7" applyNumberFormat="1" applyFont="1" applyFill="1" applyBorder="1"/>
    <xf numFmtId="9" fontId="8" fillId="0" borderId="0" xfId="7" applyNumberFormat="1" applyFont="1"/>
    <xf numFmtId="43" fontId="26" fillId="4" borderId="3" xfId="9" applyFont="1" applyFill="1" applyBorder="1"/>
    <xf numFmtId="44" fontId="26" fillId="0" borderId="0" xfId="10" applyFont="1"/>
    <xf numFmtId="0" fontId="27" fillId="0" borderId="0" xfId="7" applyFont="1" applyAlignment="1">
      <alignment horizontal="center"/>
    </xf>
    <xf numFmtId="0" fontId="15" fillId="2" borderId="0" xfId="7" applyNumberFormat="1" applyFont="1" applyFill="1" applyBorder="1"/>
    <xf numFmtId="0" fontId="27" fillId="0" borderId="0" xfId="7" applyNumberFormat="1" applyFont="1" applyBorder="1"/>
    <xf numFmtId="0" fontId="8" fillId="0" borderId="3" xfId="7" applyNumberFormat="1" applyFont="1" applyBorder="1"/>
    <xf numFmtId="0" fontId="26" fillId="0" borderId="3" xfId="9" applyNumberFormat="1" applyFont="1" applyBorder="1"/>
    <xf numFmtId="0" fontId="8" fillId="0" borderId="0" xfId="7" applyNumberFormat="1" applyFont="1" applyFill="1" applyBorder="1"/>
    <xf numFmtId="0" fontId="26" fillId="0" borderId="0" xfId="8" applyNumberFormat="1" applyFont="1" applyFill="1" applyBorder="1"/>
    <xf numFmtId="0" fontId="26" fillId="0" borderId="0" xfId="9" applyNumberFormat="1" applyFont="1" applyFill="1" applyBorder="1"/>
    <xf numFmtId="0" fontId="8" fillId="0" borderId="0" xfId="7" applyFont="1" applyBorder="1"/>
    <xf numFmtId="0" fontId="8" fillId="0" borderId="0" xfId="7" applyNumberFormat="1" applyFont="1" applyBorder="1"/>
    <xf numFmtId="0" fontId="7" fillId="0" borderId="3" xfId="7" applyFont="1" applyBorder="1"/>
    <xf numFmtId="0" fontId="27" fillId="0" borderId="0" xfId="7" applyFont="1"/>
    <xf numFmtId="0" fontId="26" fillId="0" borderId="0" xfId="10" applyNumberFormat="1" applyFont="1" applyBorder="1"/>
    <xf numFmtId="0" fontId="6" fillId="0" borderId="0" xfId="1" applyFont="1"/>
    <xf numFmtId="0" fontId="5" fillId="0" borderId="0" xfId="6" applyFont="1"/>
    <xf numFmtId="0" fontId="29" fillId="2" borderId="0" xfId="11" applyNumberFormat="1" applyFont="1" applyFill="1" applyAlignment="1">
      <alignment horizontal="left"/>
    </xf>
    <xf numFmtId="0" fontId="5" fillId="2" borderId="0" xfId="11" applyNumberFormat="1" applyFill="1" applyAlignment="1">
      <alignment horizontal="left"/>
    </xf>
    <xf numFmtId="0" fontId="5" fillId="0" borderId="0" xfId="11" applyNumberFormat="1" applyAlignment="1">
      <alignment horizontal="left"/>
    </xf>
    <xf numFmtId="0" fontId="28" fillId="0" borderId="0" xfId="11" applyNumberFormat="1" applyFont="1" applyAlignment="1">
      <alignment horizontal="left"/>
    </xf>
    <xf numFmtId="0" fontId="5" fillId="0" borderId="0" xfId="11" applyNumberFormat="1" applyBorder="1" applyAlignment="1">
      <alignment horizontal="left"/>
    </xf>
    <xf numFmtId="0" fontId="16" fillId="0" borderId="0" xfId="11" applyNumberFormat="1" applyFont="1" applyFill="1" applyBorder="1" applyAlignment="1">
      <alignment horizontal="left"/>
    </xf>
    <xf numFmtId="0" fontId="5" fillId="0" borderId="0" xfId="11" applyNumberFormat="1" applyFill="1" applyBorder="1" applyAlignment="1">
      <alignment horizontal="left"/>
    </xf>
    <xf numFmtId="0" fontId="27" fillId="0" borderId="0" xfId="11" applyNumberFormat="1" applyFont="1" applyBorder="1" applyAlignment="1">
      <alignment horizontal="left"/>
    </xf>
    <xf numFmtId="0" fontId="5" fillId="0" borderId="3" xfId="11" applyNumberFormat="1" applyFill="1" applyBorder="1" applyAlignment="1">
      <alignment horizontal="left"/>
    </xf>
    <xf numFmtId="3" fontId="5" fillId="0" borderId="3" xfId="11" applyNumberFormat="1" applyFill="1" applyBorder="1" applyAlignment="1">
      <alignment horizontal="left"/>
    </xf>
    <xf numFmtId="0" fontId="5" fillId="0" borderId="4" xfId="11" applyNumberFormat="1" applyFill="1" applyBorder="1" applyAlignment="1">
      <alignment horizontal="left"/>
    </xf>
    <xf numFmtId="0" fontId="5" fillId="0" borderId="5" xfId="11" applyNumberFormat="1" applyBorder="1" applyAlignment="1">
      <alignment horizontal="left"/>
    </xf>
    <xf numFmtId="0" fontId="5" fillId="0" borderId="6" xfId="11" applyNumberFormat="1" applyFill="1" applyBorder="1" applyAlignment="1">
      <alignment horizontal="left"/>
    </xf>
    <xf numFmtId="0" fontId="5" fillId="0" borderId="4" xfId="11" applyNumberFormat="1" applyBorder="1" applyAlignment="1">
      <alignment horizontal="left"/>
    </xf>
    <xf numFmtId="0" fontId="27" fillId="0" borderId="4" xfId="11" applyNumberFormat="1" applyFont="1" applyBorder="1" applyAlignment="1">
      <alignment horizontal="left"/>
    </xf>
    <xf numFmtId="0" fontId="27" fillId="0" borderId="5" xfId="11" applyNumberFormat="1" applyFont="1" applyBorder="1" applyAlignment="1">
      <alignment horizontal="left"/>
    </xf>
    <xf numFmtId="0" fontId="5" fillId="0" borderId="8" xfId="11" applyNumberFormat="1" applyFill="1" applyBorder="1" applyAlignment="1">
      <alignment horizontal="left"/>
    </xf>
    <xf numFmtId="0" fontId="5" fillId="0" borderId="9" xfId="11" applyNumberFormat="1" applyBorder="1" applyAlignment="1">
      <alignment horizontal="left"/>
    </xf>
    <xf numFmtId="0" fontId="5" fillId="0" borderId="10" xfId="11" applyNumberFormat="1" applyBorder="1" applyAlignment="1">
      <alignment horizontal="left"/>
    </xf>
    <xf numFmtId="0" fontId="5" fillId="0" borderId="11" xfId="11" applyNumberFormat="1" applyBorder="1" applyAlignment="1">
      <alignment horizontal="left"/>
    </xf>
    <xf numFmtId="9" fontId="5" fillId="0" borderId="3" xfId="11" applyNumberFormat="1" applyBorder="1" applyAlignment="1">
      <alignment horizontal="left"/>
    </xf>
    <xf numFmtId="0" fontId="5" fillId="0" borderId="6" xfId="11" applyNumberFormat="1" applyBorder="1" applyAlignment="1">
      <alignment horizontal="left"/>
    </xf>
    <xf numFmtId="0" fontId="16" fillId="0" borderId="0" xfId="11" applyNumberFormat="1" applyFont="1" applyAlignment="1">
      <alignment horizontal="left"/>
    </xf>
    <xf numFmtId="0" fontId="31" fillId="0" borderId="0" xfId="11" applyNumberFormat="1" applyFont="1" applyBorder="1" applyAlignment="1">
      <alignment horizontal="left"/>
    </xf>
    <xf numFmtId="0" fontId="5" fillId="0" borderId="3" xfId="11" applyNumberFormat="1" applyBorder="1" applyAlignment="1">
      <alignment horizontal="left"/>
    </xf>
    <xf numFmtId="0" fontId="27" fillId="0" borderId="3" xfId="11" applyNumberFormat="1" applyFont="1" applyBorder="1" applyAlignment="1">
      <alignment horizontal="left"/>
    </xf>
    <xf numFmtId="0" fontId="27" fillId="0" borderId="6" xfId="11" applyNumberFormat="1" applyFont="1" applyBorder="1" applyAlignment="1">
      <alignment horizontal="left"/>
    </xf>
    <xf numFmtId="10" fontId="27" fillId="0" borderId="3" xfId="11" applyNumberFormat="1" applyFont="1" applyBorder="1" applyAlignment="1">
      <alignment horizontal="left"/>
    </xf>
    <xf numFmtId="9" fontId="27" fillId="0" borderId="3" xfId="11" applyNumberFormat="1" applyFont="1" applyBorder="1" applyAlignment="1">
      <alignment horizontal="left"/>
    </xf>
    <xf numFmtId="0" fontId="27" fillId="0" borderId="8" xfId="11" applyNumberFormat="1" applyFont="1" applyBorder="1" applyAlignment="1">
      <alignment horizontal="left"/>
    </xf>
    <xf numFmtId="0" fontId="27" fillId="0" borderId="9" xfId="11" applyNumberFormat="1" applyFont="1" applyBorder="1" applyAlignment="1">
      <alignment horizontal="left"/>
    </xf>
    <xf numFmtId="0" fontId="27" fillId="0" borderId="10" xfId="11" applyNumberFormat="1" applyFont="1" applyBorder="1" applyAlignment="1">
      <alignment horizontal="left"/>
    </xf>
    <xf numFmtId="9" fontId="27" fillId="0" borderId="11" xfId="11" applyNumberFormat="1" applyFont="1" applyBorder="1" applyAlignment="1">
      <alignment horizontal="left"/>
    </xf>
    <xf numFmtId="0" fontId="27" fillId="0" borderId="11" xfId="11" applyNumberFormat="1" applyFont="1" applyBorder="1" applyAlignment="1">
      <alignment horizontal="left"/>
    </xf>
    <xf numFmtId="0" fontId="31" fillId="0" borderId="0" xfId="11" applyNumberFormat="1" applyFont="1" applyFill="1" applyBorder="1" applyAlignment="1">
      <alignment horizontal="left"/>
    </xf>
    <xf numFmtId="0" fontId="29" fillId="2" borderId="0" xfId="11" applyFont="1" applyFill="1"/>
    <xf numFmtId="0" fontId="5" fillId="2" borderId="0" xfId="11" applyFill="1"/>
    <xf numFmtId="0" fontId="5" fillId="0" borderId="3" xfId="11" applyFont="1" applyBorder="1"/>
    <xf numFmtId="0" fontId="5" fillId="0" borderId="0" xfId="11" applyFont="1" applyBorder="1"/>
    <xf numFmtId="0" fontId="5" fillId="0" borderId="0" xfId="11" applyFont="1"/>
    <xf numFmtId="0" fontId="5" fillId="0" borderId="0" xfId="11" applyFont="1" applyFill="1"/>
    <xf numFmtId="0" fontId="5" fillId="0" borderId="0" xfId="11"/>
    <xf numFmtId="0" fontId="5" fillId="0" borderId="11" xfId="11" applyFont="1" applyBorder="1" applyAlignment="1">
      <alignment horizontal="center"/>
    </xf>
    <xf numFmtId="0" fontId="27" fillId="0" borderId="3" xfId="11" applyFont="1" applyBorder="1" applyAlignment="1">
      <alignment horizontal="center"/>
    </xf>
    <xf numFmtId="0" fontId="5" fillId="0" borderId="0" xfId="11" applyFont="1" applyFill="1" applyAlignment="1">
      <alignment horizontal="center"/>
    </xf>
    <xf numFmtId="0" fontId="5" fillId="0" borderId="0" xfId="11" applyAlignment="1">
      <alignment horizontal="center"/>
    </xf>
    <xf numFmtId="165" fontId="27" fillId="0" borderId="3" xfId="11" applyNumberFormat="1" applyFont="1" applyBorder="1" applyAlignment="1">
      <alignment horizontal="center"/>
    </xf>
    <xf numFmtId="166" fontId="5" fillId="0" borderId="3" xfId="11" applyNumberFormat="1" applyFont="1" applyBorder="1" applyAlignment="1">
      <alignment horizontal="center"/>
    </xf>
    <xf numFmtId="0" fontId="5" fillId="0" borderId="0" xfId="11" applyFont="1" applyAlignment="1">
      <alignment horizontal="center"/>
    </xf>
    <xf numFmtId="2" fontId="5" fillId="0" borderId="0" xfId="11" applyNumberFormat="1"/>
    <xf numFmtId="166" fontId="5" fillId="0" borderId="0" xfId="11" applyNumberFormat="1"/>
    <xf numFmtId="0" fontId="5" fillId="0" borderId="0" xfId="11" applyNumberFormat="1" applyFill="1" applyBorder="1"/>
    <xf numFmtId="0" fontId="5" fillId="2" borderId="0" xfId="11" applyFont="1" applyFill="1"/>
    <xf numFmtId="0" fontId="5" fillId="0" borderId="0" xfId="11" applyNumberFormat="1" applyFont="1" applyFill="1" applyBorder="1" applyAlignment="1">
      <alignment horizontal="left"/>
    </xf>
    <xf numFmtId="9" fontId="26" fillId="4" borderId="3" xfId="12" applyFont="1" applyFill="1" applyBorder="1" applyAlignment="1">
      <alignment horizontal="left"/>
    </xf>
    <xf numFmtId="0" fontId="5" fillId="0" borderId="3" xfId="11" applyNumberFormat="1" applyFont="1" applyBorder="1" applyAlignment="1">
      <alignment horizontal="left"/>
    </xf>
    <xf numFmtId="0" fontId="5" fillId="0" borderId="12" xfId="11" applyFont="1" applyBorder="1"/>
    <xf numFmtId="0" fontId="5" fillId="0" borderId="13" xfId="11" applyFont="1" applyBorder="1" applyAlignment="1">
      <alignment horizontal="center"/>
    </xf>
    <xf numFmtId="0" fontId="5" fillId="0" borderId="14" xfId="11" applyFont="1" applyBorder="1" applyAlignment="1">
      <alignment horizontal="center"/>
    </xf>
    <xf numFmtId="0" fontId="5" fillId="0" borderId="7" xfId="11" applyFont="1" applyBorder="1" applyAlignment="1">
      <alignment horizontal="center"/>
    </xf>
    <xf numFmtId="0" fontId="5" fillId="0" borderId="8" xfId="11" applyFont="1" applyBorder="1" applyAlignment="1">
      <alignment horizontal="center"/>
    </xf>
    <xf numFmtId="0" fontId="5" fillId="0" borderId="3" xfId="11" applyFont="1" applyBorder="1" applyAlignment="1">
      <alignment horizontal="center"/>
    </xf>
    <xf numFmtId="2" fontId="5" fillId="0" borderId="0" xfId="11" applyNumberFormat="1" applyFont="1"/>
    <xf numFmtId="166" fontId="5" fillId="0" borderId="0" xfId="11" applyNumberFormat="1" applyFont="1"/>
    <xf numFmtId="0" fontId="27" fillId="0" borderId="8" xfId="11" applyFont="1" applyBorder="1" applyAlignment="1">
      <alignment horizontal="center"/>
    </xf>
    <xf numFmtId="0" fontId="27" fillId="0" borderId="0" xfId="11" applyFont="1" applyAlignment="1">
      <alignment horizontal="center"/>
    </xf>
    <xf numFmtId="0" fontId="27" fillId="0" borderId="0" xfId="11" applyFont="1"/>
    <xf numFmtId="0" fontId="27" fillId="0" borderId="0" xfId="11" applyFont="1" applyBorder="1"/>
    <xf numFmtId="0" fontId="27" fillId="0" borderId="13" xfId="11" applyFont="1" applyBorder="1" applyAlignment="1">
      <alignment horizontal="center"/>
    </xf>
    <xf numFmtId="0" fontId="5" fillId="0" borderId="0" xfId="11" applyNumberFormat="1" applyFont="1" applyBorder="1" applyAlignment="1">
      <alignment horizontal="center"/>
    </xf>
    <xf numFmtId="0" fontId="5" fillId="0" borderId="3" xfId="11" applyNumberFormat="1" applyFont="1" applyBorder="1" applyAlignment="1">
      <alignment horizontal="center"/>
    </xf>
    <xf numFmtId="0" fontId="5" fillId="0" borderId="0" xfId="11" applyNumberFormat="1" applyFont="1" applyAlignment="1">
      <alignment horizontal="center"/>
    </xf>
    <xf numFmtId="0" fontId="5" fillId="0" borderId="7" xfId="11" applyNumberFormat="1" applyFont="1" applyBorder="1" applyAlignment="1">
      <alignment horizontal="center"/>
    </xf>
    <xf numFmtId="0" fontId="5" fillId="2" borderId="0" xfId="11" applyFont="1" applyFill="1" applyAlignment="1">
      <alignment horizontal="left"/>
    </xf>
    <xf numFmtId="0" fontId="5" fillId="0" borderId="0" xfId="11" applyFont="1" applyAlignment="1">
      <alignment horizontal="left"/>
    </xf>
    <xf numFmtId="0" fontId="27" fillId="0" borderId="0" xfId="11" applyNumberFormat="1" applyFont="1"/>
    <xf numFmtId="0" fontId="27" fillId="0" borderId="0" xfId="11" applyNumberFormat="1" applyFont="1" applyAlignment="1">
      <alignment horizontal="left"/>
    </xf>
    <xf numFmtId="0" fontId="4" fillId="0" borderId="11" xfId="11" applyNumberFormat="1" applyFont="1" applyBorder="1" applyAlignment="1">
      <alignment horizontal="left"/>
    </xf>
    <xf numFmtId="0" fontId="4" fillId="0" borderId="12" xfId="11" applyFont="1" applyBorder="1"/>
    <xf numFmtId="0" fontId="4" fillId="0" borderId="13" xfId="11" applyFont="1" applyBorder="1" applyAlignment="1">
      <alignment horizontal="center"/>
    </xf>
    <xf numFmtId="0" fontId="4" fillId="0" borderId="11" xfId="11" applyFont="1" applyBorder="1" applyAlignment="1">
      <alignment horizontal="center"/>
    </xf>
    <xf numFmtId="0" fontId="4" fillId="0" borderId="10" xfId="11" applyFont="1" applyBorder="1" applyAlignment="1">
      <alignment horizontal="center"/>
    </xf>
    <xf numFmtId="0" fontId="4" fillId="0" borderId="7" xfId="11" applyFont="1" applyBorder="1" applyAlignment="1">
      <alignment horizontal="center"/>
    </xf>
    <xf numFmtId="9" fontId="27" fillId="0" borderId="7" xfId="12" applyFont="1" applyFill="1" applyBorder="1" applyAlignment="1">
      <alignment horizontal="left"/>
    </xf>
    <xf numFmtId="9" fontId="27" fillId="0" borderId="3" xfId="12" applyFont="1" applyFill="1" applyBorder="1" applyAlignment="1">
      <alignment horizontal="left"/>
    </xf>
    <xf numFmtId="0" fontId="20" fillId="0" borderId="0" xfId="14" applyFont="1" applyAlignment="1">
      <alignment vertical="center"/>
    </xf>
    <xf numFmtId="0" fontId="4" fillId="0" borderId="0" xfId="15" applyFont="1"/>
    <xf numFmtId="0" fontId="19" fillId="0" borderId="0" xfId="15" applyFont="1" applyAlignment="1">
      <alignment vertical="center"/>
    </xf>
    <xf numFmtId="0" fontId="32" fillId="0" borderId="0" xfId="14" applyFont="1" applyAlignment="1">
      <alignment vertical="center"/>
    </xf>
    <xf numFmtId="0" fontId="4" fillId="0" borderId="0" xfId="14"/>
    <xf numFmtId="0" fontId="4" fillId="0" borderId="0" xfId="14" applyAlignment="1">
      <alignment vertical="center"/>
    </xf>
    <xf numFmtId="0" fontId="33" fillId="0" borderId="0" xfId="14" applyFont="1" applyAlignment="1">
      <alignment vertical="center"/>
    </xf>
    <xf numFmtId="0" fontId="21" fillId="0" borderId="0" xfId="14" applyFont="1"/>
    <xf numFmtId="0" fontId="4" fillId="3" borderId="1" xfId="14" applyFill="1" applyBorder="1"/>
    <xf numFmtId="0" fontId="4" fillId="3" borderId="2" xfId="14" applyFill="1" applyBorder="1"/>
    <xf numFmtId="0" fontId="22" fillId="0" borderId="0" xfId="14" applyFont="1"/>
    <xf numFmtId="0" fontId="16" fillId="0" borderId="0" xfId="14" applyFont="1"/>
    <xf numFmtId="0" fontId="21" fillId="0" borderId="0" xfId="14" applyFont="1" applyAlignment="1">
      <alignment horizontal="left" vertical="center"/>
    </xf>
    <xf numFmtId="0" fontId="21" fillId="0" borderId="0" xfId="16" applyFont="1"/>
    <xf numFmtId="0" fontId="4" fillId="0" borderId="0" xfId="11" applyFont="1" applyBorder="1"/>
    <xf numFmtId="0" fontId="27" fillId="0" borderId="9" xfId="11" applyFont="1" applyBorder="1" applyAlignment="1">
      <alignment horizontal="center"/>
    </xf>
    <xf numFmtId="0" fontId="5" fillId="2" borderId="0" xfId="11" applyFont="1" applyFill="1" applyBorder="1"/>
    <xf numFmtId="0" fontId="5" fillId="0" borderId="0" xfId="11" applyFont="1" applyBorder="1" applyAlignment="1">
      <alignment horizontal="center"/>
    </xf>
    <xf numFmtId="0" fontId="5" fillId="0" borderId="6" xfId="11" applyFont="1" applyBorder="1" applyAlignment="1">
      <alignment horizontal="center"/>
    </xf>
    <xf numFmtId="0" fontId="4" fillId="0" borderId="0" xfId="6" applyFont="1"/>
    <xf numFmtId="0" fontId="3" fillId="2" borderId="0" xfId="11" applyFont="1" applyFill="1"/>
    <xf numFmtId="0" fontId="16" fillId="0" borderId="0" xfId="14" applyFont="1" applyAlignment="1">
      <alignment vertical="center"/>
    </xf>
    <xf numFmtId="0" fontId="19" fillId="0" borderId="0" xfId="14" applyFont="1" applyAlignment="1">
      <alignment vertical="center"/>
    </xf>
    <xf numFmtId="0" fontId="18" fillId="0" borderId="0" xfId="14" applyFont="1" applyAlignment="1">
      <alignment vertical="center"/>
    </xf>
    <xf numFmtId="0" fontId="17" fillId="0" borderId="0" xfId="14" applyFont="1" applyAlignment="1">
      <alignment vertical="center"/>
    </xf>
    <xf numFmtId="0" fontId="4" fillId="3" borderId="17" xfId="14" applyFill="1" applyBorder="1"/>
    <xf numFmtId="0" fontId="4" fillId="3" borderId="16" xfId="14" applyFill="1" applyBorder="1"/>
    <xf numFmtId="0" fontId="22" fillId="3" borderId="15" xfId="14" applyFont="1" applyFill="1" applyBorder="1"/>
    <xf numFmtId="0" fontId="21" fillId="0" borderId="0" xfId="14" applyFont="1" applyAlignment="1">
      <alignment vertical="center"/>
    </xf>
    <xf numFmtId="0" fontId="1" fillId="0" borderId="3" xfId="7" applyFont="1" applyBorder="1"/>
    <xf numFmtId="43" fontId="26" fillId="0" borderId="3" xfId="9" applyNumberFormat="1" applyFont="1" applyBorder="1"/>
    <xf numFmtId="10" fontId="15" fillId="2" borderId="0" xfId="0" applyNumberFormat="1" applyFont="1" applyFill="1"/>
    <xf numFmtId="0" fontId="1" fillId="0" borderId="0" xfId="17"/>
    <xf numFmtId="10" fontId="1" fillId="4" borderId="3" xfId="17" applyNumberFormat="1" applyFill="1" applyBorder="1" applyAlignment="1">
      <alignment horizontal="center"/>
    </xf>
    <xf numFmtId="0" fontId="1" fillId="4" borderId="3" xfId="17" applyFill="1" applyBorder="1" applyAlignment="1">
      <alignment horizontal="center"/>
    </xf>
    <xf numFmtId="0" fontId="1" fillId="0" borderId="12" xfId="17" applyBorder="1"/>
    <xf numFmtId="0" fontId="1" fillId="0" borderId="12" xfId="17" applyBorder="1" applyAlignment="1">
      <alignment horizontal="center"/>
    </xf>
    <xf numFmtId="0" fontId="1" fillId="0" borderId="0" xfId="17" applyAlignment="1">
      <alignment horizontal="center"/>
    </xf>
    <xf numFmtId="0" fontId="1" fillId="0" borderId="18" xfId="17" applyBorder="1" applyAlignment="1">
      <alignment horizontal="center"/>
    </xf>
    <xf numFmtId="0" fontId="1" fillId="0" borderId="19" xfId="17" applyBorder="1" applyAlignment="1">
      <alignment horizontal="center"/>
    </xf>
    <xf numFmtId="0" fontId="1" fillId="0" borderId="0" xfId="17" applyAlignment="1">
      <alignment horizontal="left"/>
    </xf>
    <xf numFmtId="3" fontId="1" fillId="0" borderId="0" xfId="17" applyNumberFormat="1" applyAlignment="1">
      <alignment horizontal="center"/>
    </xf>
    <xf numFmtId="4" fontId="1" fillId="0" borderId="0" xfId="17" applyNumberFormat="1"/>
    <xf numFmtId="3" fontId="1" fillId="0" borderId="12" xfId="17" applyNumberFormat="1" applyBorder="1" applyAlignment="1">
      <alignment horizontal="center"/>
    </xf>
    <xf numFmtId="3" fontId="1" fillId="0" borderId="0" xfId="17" applyNumberFormat="1" applyAlignment="1">
      <alignment horizontal="left"/>
    </xf>
    <xf numFmtId="3" fontId="1" fillId="0" borderId="19" xfId="17" applyNumberFormat="1" applyBorder="1" applyAlignment="1">
      <alignment horizontal="center"/>
    </xf>
    <xf numFmtId="3" fontId="1" fillId="0" borderId="18" xfId="17" applyNumberFormat="1" applyBorder="1" applyAlignment="1">
      <alignment horizontal="center"/>
    </xf>
    <xf numFmtId="3" fontId="1" fillId="0" borderId="18" xfId="17" applyNumberFormat="1" applyBorder="1" applyAlignment="1">
      <alignment horizontal="left"/>
    </xf>
    <xf numFmtId="3" fontId="1" fillId="0" borderId="20" xfId="17" applyNumberFormat="1" applyBorder="1" applyAlignment="1">
      <alignment horizontal="center"/>
    </xf>
    <xf numFmtId="0" fontId="1" fillId="0" borderId="18" xfId="17" applyBorder="1"/>
    <xf numFmtId="0" fontId="1" fillId="0" borderId="7" xfId="17" applyBorder="1" applyAlignment="1">
      <alignment horizontal="center"/>
    </xf>
    <xf numFmtId="0" fontId="1" fillId="0" borderId="21" xfId="17" applyBorder="1" applyAlignment="1">
      <alignment horizontal="center"/>
    </xf>
    <xf numFmtId="3" fontId="1" fillId="0" borderId="7" xfId="17" applyNumberFormat="1" applyBorder="1" applyAlignment="1">
      <alignment horizontal="center"/>
    </xf>
    <xf numFmtId="3" fontId="1" fillId="0" borderId="21" xfId="17" applyNumberFormat="1" applyBorder="1" applyAlignment="1">
      <alignment horizontal="center"/>
    </xf>
    <xf numFmtId="3" fontId="1" fillId="0" borderId="12" xfId="17" applyNumberFormat="1" applyBorder="1" applyAlignment="1">
      <alignment horizontal="left"/>
    </xf>
    <xf numFmtId="0" fontId="1" fillId="0" borderId="0" xfId="6" applyFont="1"/>
    <xf numFmtId="0" fontId="38" fillId="0" borderId="14" xfId="6" applyFont="1" applyBorder="1" applyAlignment="1">
      <alignment horizontal="center"/>
    </xf>
    <xf numFmtId="3" fontId="9" fillId="0" borderId="22" xfId="6" applyNumberFormat="1" applyBorder="1" applyAlignment="1">
      <alignment horizontal="center"/>
    </xf>
    <xf numFmtId="0" fontId="9" fillId="0" borderId="22" xfId="6" applyBorder="1"/>
    <xf numFmtId="0" fontId="9" fillId="0" borderId="23" xfId="6" applyBorder="1"/>
    <xf numFmtId="0" fontId="9" fillId="0" borderId="12" xfId="6" applyBorder="1" applyAlignment="1">
      <alignment horizontal="center"/>
    </xf>
    <xf numFmtId="3" fontId="9" fillId="0" borderId="0" xfId="6" applyNumberFormat="1" applyAlignment="1">
      <alignment horizontal="left"/>
    </xf>
    <xf numFmtId="0" fontId="0" fillId="0" borderId="0" xfId="0" applyAlignment="1">
      <alignment horizontal="left"/>
    </xf>
    <xf numFmtId="0" fontId="28" fillId="0" borderId="0" xfId="0" applyFont="1" applyAlignment="1">
      <alignment horizontal="left"/>
    </xf>
    <xf numFmtId="0" fontId="9" fillId="0" borderId="24" xfId="6" applyBorder="1"/>
    <xf numFmtId="3" fontId="9" fillId="0" borderId="0" xfId="6" applyNumberFormat="1" applyAlignment="1">
      <alignment horizontal="center"/>
    </xf>
    <xf numFmtId="0" fontId="39" fillId="0" borderId="0" xfId="15" applyFont="1"/>
    <xf numFmtId="4" fontId="9" fillId="0" borderId="0" xfId="6" applyNumberFormat="1"/>
    <xf numFmtId="0" fontId="9" fillId="0" borderId="12" xfId="6" applyBorder="1"/>
    <xf numFmtId="0" fontId="9" fillId="0" borderId="8" xfId="6" applyBorder="1"/>
    <xf numFmtId="0" fontId="9" fillId="0" borderId="9" xfId="6" applyBorder="1"/>
    <xf numFmtId="4" fontId="9" fillId="0" borderId="9" xfId="6" applyNumberFormat="1" applyBorder="1"/>
    <xf numFmtId="0" fontId="40" fillId="0" borderId="9" xfId="0" applyFont="1" applyBorder="1"/>
    <xf numFmtId="0" fontId="9" fillId="0" borderId="10" xfId="6" applyBorder="1"/>
    <xf numFmtId="0" fontId="39" fillId="0" borderId="0" xfId="15" applyFont="1" applyAlignment="1">
      <alignment vertical="center"/>
    </xf>
    <xf numFmtId="0" fontId="9" fillId="0" borderId="8" xfId="6" applyBorder="1" applyAlignment="1">
      <alignment horizontal="center"/>
    </xf>
    <xf numFmtId="0" fontId="39" fillId="0" borderId="9" xfId="15" applyFont="1" applyBorder="1"/>
    <xf numFmtId="3" fontId="9" fillId="0" borderId="9" xfId="6" applyNumberFormat="1" applyBorder="1" applyAlignment="1">
      <alignment horizontal="center"/>
    </xf>
    <xf numFmtId="0" fontId="28" fillId="0" borderId="9" xfId="0" applyFont="1" applyBorder="1" applyAlignment="1">
      <alignment horizontal="left"/>
    </xf>
  </cellXfs>
  <cellStyles count="18">
    <cellStyle name="Comma 2" xfId="9" xr:uid="{00000000-0005-0000-0000-000000000000}"/>
    <cellStyle name="Currency 2" xfId="10" xr:uid="{00000000-0005-0000-0000-000001000000}"/>
    <cellStyle name="Normal" xfId="0" builtinId="0"/>
    <cellStyle name="Normal 2" xfId="1" xr:uid="{00000000-0005-0000-0000-000003000000}"/>
    <cellStyle name="Normal 2 2" xfId="6" xr:uid="{00000000-0005-0000-0000-000004000000}"/>
    <cellStyle name="Normal 2 3" xfId="14" xr:uid="{00000000-0005-0000-0000-000005000000}"/>
    <cellStyle name="Normal 2 4" xfId="15" xr:uid="{00000000-0005-0000-0000-000006000000}"/>
    <cellStyle name="Normal 2 5" xfId="17" xr:uid="{E9E1A3DD-A3F9-429E-B46D-5B7C5CB748FA}"/>
    <cellStyle name="Normal 3" xfId="2" xr:uid="{00000000-0005-0000-0000-000007000000}"/>
    <cellStyle name="Normal 4" xfId="3" xr:uid="{00000000-0005-0000-0000-000008000000}"/>
    <cellStyle name="Normal 5" xfId="4" xr:uid="{00000000-0005-0000-0000-000009000000}"/>
    <cellStyle name="Normal 5 2" xfId="16" xr:uid="{00000000-0005-0000-0000-00000A000000}"/>
    <cellStyle name="Normal 6" xfId="5" xr:uid="{00000000-0005-0000-0000-00000B000000}"/>
    <cellStyle name="Normal 7" xfId="7" xr:uid="{00000000-0005-0000-0000-00000C000000}"/>
    <cellStyle name="Normal 8" xfId="11" xr:uid="{00000000-0005-0000-0000-00000D000000}"/>
    <cellStyle name="Normal 9" xfId="13" xr:uid="{00000000-0005-0000-0000-00000E000000}"/>
    <cellStyle name="Percent 2" xfId="8" xr:uid="{00000000-0005-0000-0000-00000F000000}"/>
    <cellStyle name="Percent 3" xfId="12" xr:uid="{00000000-0005-0000-0000-000010000000}"/>
  </cellStyles>
  <dxfs count="0"/>
  <tableStyles count="0" defaultTableStyle="TableStyleMedium2" defaultPivotStyle="PivotStyleLight16"/>
  <colors>
    <mruColors>
      <color rgb="FF91C6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17</xdr:row>
          <xdr:rowOff>165100</xdr:rowOff>
        </xdr:from>
        <xdr:to>
          <xdr:col>0</xdr:col>
          <xdr:colOff>241300</xdr:colOff>
          <xdr:row>19</xdr:row>
          <xdr:rowOff>19050</xdr:rowOff>
        </xdr:to>
        <xdr:sp macro="" textlink="">
          <xdr:nvSpPr>
            <xdr:cNvPr id="35842" name="Check Box 2" descr="latest version" hidden="1">
              <a:extLst>
                <a:ext uri="{63B3BB69-23CF-44E3-9099-C40C66FF867C}">
                  <a14:compatExt spid="_x0000_s35842"/>
                </a:ext>
                <a:ext uri="{FF2B5EF4-FFF2-40B4-BE49-F238E27FC236}">
                  <a16:creationId xmlns:a16="http://schemas.microsoft.com/office/drawing/2014/main" id="{00000000-0008-0000-01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171450</xdr:rowOff>
        </xdr:from>
        <xdr:to>
          <xdr:col>0</xdr:col>
          <xdr:colOff>241300</xdr:colOff>
          <xdr:row>20</xdr:row>
          <xdr:rowOff>25400</xdr:rowOff>
        </xdr:to>
        <xdr:sp macro="" textlink="">
          <xdr:nvSpPr>
            <xdr:cNvPr id="35843" name="Check Box 3" descr="latest version" hidden="1">
              <a:extLst>
                <a:ext uri="{63B3BB69-23CF-44E3-9099-C40C66FF867C}">
                  <a14:compatExt spid="_x0000_s35843"/>
                </a:ext>
                <a:ext uri="{FF2B5EF4-FFF2-40B4-BE49-F238E27FC236}">
                  <a16:creationId xmlns:a16="http://schemas.microsoft.com/office/drawing/2014/main" id="{00000000-0008-0000-01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0</xdr:col>
          <xdr:colOff>241300</xdr:colOff>
          <xdr:row>20</xdr:row>
          <xdr:rowOff>38100</xdr:rowOff>
        </xdr:to>
        <xdr:sp macro="" textlink="">
          <xdr:nvSpPr>
            <xdr:cNvPr id="35844" name="Check Box 4" descr="latest version" hidden="1">
              <a:extLst>
                <a:ext uri="{63B3BB69-23CF-44E3-9099-C40C66FF867C}">
                  <a14:compatExt spid="_x0000_s35844"/>
                </a:ext>
                <a:ext uri="{FF2B5EF4-FFF2-40B4-BE49-F238E27FC236}">
                  <a16:creationId xmlns:a16="http://schemas.microsoft.com/office/drawing/2014/main" id="{00000000-0008-0000-01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171450</xdr:rowOff>
        </xdr:from>
        <xdr:to>
          <xdr:col>0</xdr:col>
          <xdr:colOff>241300</xdr:colOff>
          <xdr:row>22</xdr:row>
          <xdr:rowOff>25400</xdr:rowOff>
        </xdr:to>
        <xdr:sp macro="" textlink="">
          <xdr:nvSpPr>
            <xdr:cNvPr id="35845" name="Check Box 5" descr="latest version" hidden="1">
              <a:extLst>
                <a:ext uri="{63B3BB69-23CF-44E3-9099-C40C66FF867C}">
                  <a14:compatExt spid="_x0000_s35845"/>
                </a:ext>
                <a:ext uri="{FF2B5EF4-FFF2-40B4-BE49-F238E27FC236}">
                  <a16:creationId xmlns:a16="http://schemas.microsoft.com/office/drawing/2014/main" id="{00000000-0008-0000-01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165100</xdr:rowOff>
        </xdr:from>
        <xdr:to>
          <xdr:col>0</xdr:col>
          <xdr:colOff>241300</xdr:colOff>
          <xdr:row>21</xdr:row>
          <xdr:rowOff>19050</xdr:rowOff>
        </xdr:to>
        <xdr:sp macro="" textlink="">
          <xdr:nvSpPr>
            <xdr:cNvPr id="35846" name="Check Box 6" descr="latest version" hidden="1">
              <a:extLst>
                <a:ext uri="{63B3BB69-23CF-44E3-9099-C40C66FF867C}">
                  <a14:compatExt spid="_x0000_s35846"/>
                </a:ext>
                <a:ext uri="{FF2B5EF4-FFF2-40B4-BE49-F238E27FC236}">
                  <a16:creationId xmlns:a16="http://schemas.microsoft.com/office/drawing/2014/main" id="{00000000-0008-0000-01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0</xdr:col>
          <xdr:colOff>241300</xdr:colOff>
          <xdr:row>24</xdr:row>
          <xdr:rowOff>44450</xdr:rowOff>
        </xdr:to>
        <xdr:sp macro="" textlink="">
          <xdr:nvSpPr>
            <xdr:cNvPr id="35847" name="Check Box 7" descr="latest version" hidden="1">
              <a:extLst>
                <a:ext uri="{63B3BB69-23CF-44E3-9099-C40C66FF867C}">
                  <a14:compatExt spid="_x0000_s35847"/>
                </a:ext>
                <a:ext uri="{FF2B5EF4-FFF2-40B4-BE49-F238E27FC236}">
                  <a16:creationId xmlns:a16="http://schemas.microsoft.com/office/drawing/2014/main" id="{00000000-0008-0000-01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1459230</xdr:colOff>
      <xdr:row>5</xdr:row>
      <xdr:rowOff>137160</xdr:rowOff>
    </xdr:from>
    <xdr:to>
      <xdr:col>2</xdr:col>
      <xdr:colOff>72390</xdr:colOff>
      <xdr:row>7</xdr:row>
      <xdr:rowOff>91440</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217930" y="1045210"/>
          <a:ext cx="70485" cy="30988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400" b="1"/>
        </a:p>
      </xdr:txBody>
    </xdr:sp>
    <xdr:clientData/>
  </xdr:twoCellAnchor>
  <xdr:twoCellAnchor>
    <xdr:from>
      <xdr:col>4</xdr:col>
      <xdr:colOff>7620</xdr:colOff>
      <xdr:row>12</xdr:row>
      <xdr:rowOff>0</xdr:rowOff>
    </xdr:from>
    <xdr:to>
      <xdr:col>5</xdr:col>
      <xdr:colOff>600075</xdr:colOff>
      <xdr:row>13</xdr:row>
      <xdr:rowOff>83820</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2449195" y="2171700"/>
          <a:ext cx="1195705" cy="26797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mc:AlternateContent xmlns:mc="http://schemas.openxmlformats.org/markup-compatibility/2006">
    <mc:Choice xmlns:a14="http://schemas.microsoft.com/office/drawing/2010/main" Requires="a14">
      <xdr:twoCellAnchor editAs="oneCell">
        <xdr:from>
          <xdr:col>4</xdr:col>
          <xdr:colOff>95250</xdr:colOff>
          <xdr:row>3</xdr:row>
          <xdr:rowOff>171450</xdr:rowOff>
        </xdr:from>
        <xdr:to>
          <xdr:col>4</xdr:col>
          <xdr:colOff>431800</xdr:colOff>
          <xdr:row>5</xdr:row>
          <xdr:rowOff>6350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1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xdr:row>
          <xdr:rowOff>171450</xdr:rowOff>
        </xdr:from>
        <xdr:to>
          <xdr:col>5</xdr:col>
          <xdr:colOff>419100</xdr:colOff>
          <xdr:row>5</xdr:row>
          <xdr:rowOff>6350</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1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xdr:row>
          <xdr:rowOff>171450</xdr:rowOff>
        </xdr:from>
        <xdr:to>
          <xdr:col>4</xdr:col>
          <xdr:colOff>431800</xdr:colOff>
          <xdr:row>8</xdr:row>
          <xdr:rowOff>6350</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1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xdr:row>
          <xdr:rowOff>171450</xdr:rowOff>
        </xdr:from>
        <xdr:to>
          <xdr:col>5</xdr:col>
          <xdr:colOff>419100</xdr:colOff>
          <xdr:row>8</xdr:row>
          <xdr:rowOff>6350</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1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0</xdr:col>
          <xdr:colOff>241300</xdr:colOff>
          <xdr:row>25</xdr:row>
          <xdr:rowOff>44450</xdr:rowOff>
        </xdr:to>
        <xdr:sp macro="" textlink="">
          <xdr:nvSpPr>
            <xdr:cNvPr id="35852" name="Check Box 12" descr="latest version" hidden="1">
              <a:extLst>
                <a:ext uri="{63B3BB69-23CF-44E3-9099-C40C66FF867C}">
                  <a14:compatExt spid="_x0000_s35852"/>
                </a:ext>
                <a:ext uri="{FF2B5EF4-FFF2-40B4-BE49-F238E27FC236}">
                  <a16:creationId xmlns:a16="http://schemas.microsoft.com/office/drawing/2014/main" id="{00000000-0008-0000-01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241300</xdr:colOff>
          <xdr:row>23</xdr:row>
          <xdr:rowOff>50800</xdr:rowOff>
        </xdr:to>
        <xdr:sp macro="" textlink="">
          <xdr:nvSpPr>
            <xdr:cNvPr id="35853" name="Check Box 13" descr="latest version" hidden="1">
              <a:extLst>
                <a:ext uri="{63B3BB69-23CF-44E3-9099-C40C66FF867C}">
                  <a14:compatExt spid="_x0000_s35853"/>
                </a:ext>
                <a:ext uri="{FF2B5EF4-FFF2-40B4-BE49-F238E27FC236}">
                  <a16:creationId xmlns:a16="http://schemas.microsoft.com/office/drawing/2014/main" id="{00000000-0008-0000-01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43E3B-82A4-4CE0-A017-2B2F4C90A219}">
  <dimension ref="A1:P24"/>
  <sheetViews>
    <sheetView showGridLines="0" workbookViewId="0">
      <selection activeCell="F35" sqref="F35"/>
    </sheetView>
  </sheetViews>
  <sheetFormatPr defaultRowHeight="14.5" x14ac:dyDescent="0.35"/>
  <cols>
    <col min="1" max="1" width="5.1796875" style="128" customWidth="1"/>
    <col min="2" max="16384" width="8.7265625" style="128"/>
  </cols>
  <sheetData>
    <row r="1" spans="1:16" ht="26" x14ac:dyDescent="0.35">
      <c r="A1" s="127" t="s">
        <v>109</v>
      </c>
      <c r="B1" s="129"/>
      <c r="C1" s="129"/>
      <c r="D1" s="129"/>
      <c r="E1" s="129"/>
      <c r="F1" s="129"/>
      <c r="G1" s="129"/>
      <c r="H1" s="129"/>
      <c r="I1" s="129"/>
      <c r="J1" s="129"/>
      <c r="K1" s="129"/>
      <c r="L1" s="129"/>
      <c r="M1" s="129"/>
      <c r="N1" s="129"/>
    </row>
    <row r="2" spans="1:16" ht="16.149999999999999" customHeight="1" x14ac:dyDescent="0.35">
      <c r="A2" s="127"/>
      <c r="B2" s="129"/>
      <c r="C2" s="129"/>
      <c r="D2" s="129"/>
      <c r="E2" s="129"/>
      <c r="F2" s="129"/>
      <c r="G2" s="129"/>
      <c r="H2" s="129"/>
      <c r="I2" s="129"/>
      <c r="J2" s="129"/>
      <c r="K2" s="129"/>
      <c r="L2" s="129"/>
      <c r="M2" s="129"/>
      <c r="N2" s="129"/>
    </row>
    <row r="3" spans="1:16" ht="23.5" x14ac:dyDescent="0.35">
      <c r="A3" s="130" t="s">
        <v>137</v>
      </c>
      <c r="B3" s="129"/>
      <c r="C3" s="129"/>
      <c r="D3" s="129"/>
      <c r="E3" s="129"/>
      <c r="F3" s="129"/>
      <c r="G3" s="129"/>
      <c r="H3" s="129"/>
      <c r="I3" s="129"/>
      <c r="J3" s="129"/>
      <c r="K3" s="129"/>
      <c r="L3" s="129"/>
      <c r="M3" s="129"/>
      <c r="N3" s="129"/>
    </row>
    <row r="4" spans="1:16" ht="11.5" customHeight="1" x14ac:dyDescent="0.35">
      <c r="A4" s="148"/>
      <c r="B4" s="129"/>
      <c r="C4" s="129"/>
      <c r="D4" s="129"/>
      <c r="E4" s="129"/>
      <c r="F4" s="129"/>
      <c r="G4" s="129"/>
      <c r="H4" s="129"/>
      <c r="I4" s="129"/>
      <c r="J4" s="129"/>
      <c r="K4" s="129"/>
      <c r="L4" s="129"/>
      <c r="M4" s="129"/>
      <c r="N4" s="129"/>
    </row>
    <row r="5" spans="1:16" x14ac:dyDescent="0.35">
      <c r="A5" s="129" t="s">
        <v>0</v>
      </c>
      <c r="B5" s="129"/>
      <c r="C5" s="129"/>
      <c r="D5" s="129"/>
      <c r="E5" s="129"/>
      <c r="F5" s="129"/>
      <c r="G5" s="129"/>
      <c r="H5" s="129"/>
      <c r="I5" s="129"/>
      <c r="J5" s="129"/>
      <c r="K5" s="129"/>
      <c r="L5" s="129"/>
      <c r="M5" s="129"/>
      <c r="N5" s="129"/>
    </row>
    <row r="6" spans="1:16" x14ac:dyDescent="0.35">
      <c r="A6" s="128" t="s">
        <v>1</v>
      </c>
      <c r="B6" s="124" t="s">
        <v>130</v>
      </c>
      <c r="C6" s="129"/>
      <c r="D6" s="129"/>
      <c r="E6" s="129"/>
      <c r="F6" s="129"/>
      <c r="G6" s="129"/>
      <c r="H6" s="129"/>
      <c r="I6" s="129"/>
      <c r="J6" s="129"/>
      <c r="K6" s="129"/>
      <c r="L6" s="129"/>
      <c r="M6" s="129"/>
      <c r="N6" s="129"/>
    </row>
    <row r="7" spans="1:16" x14ac:dyDescent="0.35">
      <c r="A7" s="128" t="s">
        <v>1</v>
      </c>
      <c r="B7" s="124" t="s">
        <v>117</v>
      </c>
      <c r="C7" s="129"/>
      <c r="D7" s="129"/>
      <c r="E7" s="129"/>
      <c r="F7" s="129"/>
      <c r="G7" s="129"/>
      <c r="H7" s="129"/>
      <c r="I7" s="129"/>
      <c r="J7" s="129"/>
      <c r="K7" s="129"/>
      <c r="L7" s="129"/>
      <c r="M7" s="129"/>
      <c r="N7" s="129"/>
    </row>
    <row r="8" spans="1:16" x14ac:dyDescent="0.35">
      <c r="A8" s="147"/>
      <c r="B8" s="129"/>
      <c r="C8" s="129"/>
      <c r="D8" s="129"/>
      <c r="E8" s="129"/>
      <c r="F8" s="129"/>
      <c r="G8" s="129"/>
      <c r="H8" s="129"/>
      <c r="I8" s="129"/>
      <c r="J8" s="129"/>
      <c r="K8" s="129"/>
      <c r="L8" s="129"/>
      <c r="M8" s="129"/>
      <c r="N8" s="129"/>
    </row>
    <row r="9" spans="1:16" x14ac:dyDescent="0.35">
      <c r="A9" s="145" t="s">
        <v>6</v>
      </c>
      <c r="B9" s="129"/>
      <c r="C9" s="129"/>
      <c r="D9" s="129"/>
      <c r="E9" s="129"/>
      <c r="F9" s="129"/>
      <c r="G9" s="129"/>
      <c r="H9" s="129"/>
      <c r="I9" s="129"/>
      <c r="J9" s="129"/>
      <c r="K9" s="129"/>
      <c r="L9" s="129"/>
      <c r="M9" s="129"/>
      <c r="N9" s="129"/>
    </row>
    <row r="10" spans="1:16" x14ac:dyDescent="0.35">
      <c r="A10" s="129" t="s">
        <v>5</v>
      </c>
      <c r="B10" s="129"/>
      <c r="C10" s="129"/>
      <c r="D10" s="129"/>
      <c r="E10" s="129"/>
      <c r="F10" s="129"/>
      <c r="G10" s="129"/>
      <c r="H10" s="129"/>
      <c r="I10" s="129"/>
      <c r="J10" s="129"/>
      <c r="K10" s="129"/>
      <c r="L10" s="129"/>
      <c r="M10" s="129"/>
      <c r="N10" s="129"/>
    </row>
    <row r="11" spans="1:16" x14ac:dyDescent="0.35">
      <c r="A11" s="128" t="s">
        <v>1</v>
      </c>
      <c r="B11" s="124" t="s">
        <v>90</v>
      </c>
      <c r="C11" s="129"/>
      <c r="D11" s="129"/>
      <c r="E11" s="129"/>
      <c r="F11" s="129"/>
      <c r="G11" s="129"/>
      <c r="H11" s="129"/>
      <c r="I11" s="129"/>
      <c r="J11" s="129"/>
      <c r="K11" s="129"/>
      <c r="L11" s="129"/>
      <c r="M11" s="129"/>
      <c r="N11" s="129"/>
    </row>
    <row r="12" spans="1:16" x14ac:dyDescent="0.35">
      <c r="A12" s="128" t="s">
        <v>1</v>
      </c>
      <c r="B12" s="124" t="s">
        <v>139</v>
      </c>
      <c r="C12" s="129"/>
      <c r="D12" s="129"/>
      <c r="E12" s="129"/>
      <c r="F12" s="129"/>
      <c r="G12" s="129"/>
      <c r="H12" s="129"/>
      <c r="I12" s="129"/>
      <c r="J12" s="129"/>
      <c r="K12" s="129"/>
      <c r="L12" s="129"/>
      <c r="M12" s="129"/>
      <c r="N12" s="129"/>
    </row>
    <row r="13" spans="1:16" x14ac:dyDescent="0.35">
      <c r="A13" s="128" t="s">
        <v>1</v>
      </c>
      <c r="B13" s="146" t="s">
        <v>138</v>
      </c>
      <c r="C13" s="129"/>
      <c r="D13" s="129"/>
      <c r="E13" s="129"/>
      <c r="F13" s="129"/>
      <c r="G13" s="129"/>
      <c r="H13" s="129"/>
      <c r="I13" s="129"/>
      <c r="J13" s="129"/>
      <c r="K13" s="129"/>
      <c r="L13" s="129"/>
      <c r="M13" s="129"/>
      <c r="N13" s="129"/>
      <c r="P13" s="135"/>
    </row>
    <row r="14" spans="1:16" x14ac:dyDescent="0.35">
      <c r="A14" s="128" t="s">
        <v>1</v>
      </c>
      <c r="B14" s="124" t="s">
        <v>2</v>
      </c>
      <c r="C14" s="129"/>
      <c r="D14" s="129"/>
      <c r="E14" s="129"/>
      <c r="F14" s="129"/>
      <c r="G14" s="129"/>
      <c r="H14" s="129"/>
      <c r="I14" s="129"/>
      <c r="J14" s="129"/>
      <c r="K14" s="129"/>
      <c r="L14" s="129"/>
      <c r="M14" s="129"/>
      <c r="N14" s="129"/>
    </row>
    <row r="15" spans="1:16" x14ac:dyDescent="0.35">
      <c r="A15" s="128" t="s">
        <v>1</v>
      </c>
      <c r="B15" s="124" t="s">
        <v>110</v>
      </c>
      <c r="C15" s="129"/>
      <c r="D15" s="129"/>
      <c r="E15" s="129"/>
      <c r="F15" s="129"/>
      <c r="G15" s="129"/>
      <c r="H15" s="129"/>
      <c r="I15" s="129"/>
      <c r="J15" s="129"/>
      <c r="K15" s="129"/>
      <c r="L15" s="129"/>
      <c r="M15" s="129"/>
      <c r="N15" s="129"/>
    </row>
    <row r="16" spans="1:16" x14ac:dyDescent="0.35">
      <c r="A16" s="128" t="s">
        <v>1</v>
      </c>
      <c r="B16" s="146" t="s">
        <v>111</v>
      </c>
      <c r="C16" s="129"/>
      <c r="D16" s="129"/>
      <c r="E16" s="129"/>
      <c r="F16" s="129"/>
      <c r="G16" s="129"/>
      <c r="H16" s="129"/>
      <c r="I16" s="129"/>
      <c r="J16" s="129"/>
      <c r="K16" s="129"/>
      <c r="L16" s="129"/>
      <c r="M16" s="129"/>
      <c r="N16" s="129"/>
    </row>
    <row r="17" spans="1:14" x14ac:dyDescent="0.35">
      <c r="A17" s="125" t="s">
        <v>1</v>
      </c>
      <c r="B17" s="126" t="s">
        <v>34</v>
      </c>
      <c r="C17" s="129"/>
      <c r="D17" s="129"/>
      <c r="E17" s="129"/>
      <c r="F17" s="129"/>
      <c r="G17" s="129"/>
      <c r="H17" s="129"/>
      <c r="I17" s="129"/>
      <c r="J17" s="129"/>
      <c r="K17" s="129"/>
      <c r="L17" s="129"/>
      <c r="M17" s="129"/>
      <c r="N17" s="129"/>
    </row>
    <row r="18" spans="1:14" x14ac:dyDescent="0.35">
      <c r="A18" s="128" t="s">
        <v>1</v>
      </c>
      <c r="B18" s="124" t="s">
        <v>112</v>
      </c>
      <c r="C18" s="129"/>
      <c r="D18" s="129"/>
      <c r="E18" s="129"/>
      <c r="F18" s="129"/>
      <c r="G18" s="129"/>
      <c r="H18" s="129"/>
      <c r="I18" s="129"/>
      <c r="J18" s="129"/>
      <c r="K18" s="129"/>
      <c r="L18" s="129"/>
      <c r="M18" s="129"/>
      <c r="N18" s="129"/>
    </row>
    <row r="19" spans="1:14" x14ac:dyDescent="0.35">
      <c r="A19" s="147"/>
      <c r="B19" s="129"/>
      <c r="C19" s="129"/>
      <c r="D19" s="129"/>
      <c r="E19" s="129"/>
      <c r="F19" s="129"/>
      <c r="G19" s="129"/>
      <c r="H19" s="129"/>
      <c r="I19" s="129"/>
      <c r="J19" s="129"/>
      <c r="K19" s="129"/>
      <c r="L19" s="129"/>
      <c r="M19" s="129"/>
      <c r="N19" s="129"/>
    </row>
    <row r="20" spans="1:14" x14ac:dyDescent="0.35">
      <c r="A20" s="146" t="s">
        <v>3</v>
      </c>
      <c r="B20" s="129"/>
      <c r="C20" s="129"/>
      <c r="D20" s="129"/>
      <c r="E20" s="129"/>
      <c r="F20" s="129"/>
      <c r="G20" s="129"/>
      <c r="H20" s="129"/>
      <c r="I20" s="129"/>
      <c r="J20" s="129"/>
      <c r="K20" s="129"/>
      <c r="L20" s="129"/>
      <c r="M20" s="129"/>
      <c r="N20" s="129"/>
    </row>
    <row r="21" spans="1:14" x14ac:dyDescent="0.35">
      <c r="A21" s="128" t="s">
        <v>131</v>
      </c>
      <c r="B21" s="129"/>
      <c r="C21" s="129"/>
      <c r="D21" s="129"/>
      <c r="E21" s="129"/>
      <c r="F21" s="129"/>
      <c r="G21" s="129"/>
      <c r="H21" s="129"/>
      <c r="I21" s="129"/>
      <c r="J21" s="129"/>
      <c r="K21" s="129"/>
      <c r="L21" s="129"/>
      <c r="M21" s="129"/>
      <c r="N21" s="129"/>
    </row>
    <row r="22" spans="1:14" x14ac:dyDescent="0.35">
      <c r="A22" s="145" t="s">
        <v>113</v>
      </c>
      <c r="B22" s="129"/>
      <c r="C22" s="129"/>
      <c r="D22" s="129"/>
      <c r="E22" s="129"/>
      <c r="F22" s="129"/>
      <c r="G22" s="129"/>
      <c r="H22" s="129"/>
      <c r="I22" s="129"/>
      <c r="J22" s="129"/>
      <c r="K22" s="129"/>
      <c r="L22" s="129"/>
      <c r="M22" s="129"/>
      <c r="N22" s="129"/>
    </row>
    <row r="23" spans="1:14" x14ac:dyDescent="0.35">
      <c r="A23" s="124" t="s">
        <v>132</v>
      </c>
      <c r="B23" s="129"/>
      <c r="C23" s="129"/>
      <c r="D23" s="129"/>
      <c r="E23" s="129"/>
      <c r="F23" s="129"/>
      <c r="G23" s="129"/>
      <c r="H23" s="129"/>
      <c r="I23" s="129"/>
      <c r="J23" s="129"/>
      <c r="K23" s="129"/>
      <c r="L23" s="129"/>
      <c r="M23" s="129"/>
      <c r="N23" s="129"/>
    </row>
    <row r="24" spans="1:14" x14ac:dyDescent="0.35">
      <c r="A24" s="129" t="s">
        <v>133</v>
      </c>
      <c r="B24" s="129"/>
      <c r="C24" s="129"/>
      <c r="D24" s="129"/>
      <c r="E24" s="129"/>
      <c r="F24" s="129"/>
      <c r="G24" s="129"/>
      <c r="H24" s="129"/>
      <c r="I24" s="129"/>
      <c r="J24" s="129"/>
      <c r="K24" s="129"/>
      <c r="L24" s="129"/>
      <c r="M24" s="129"/>
      <c r="N24" s="129"/>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130"/>
  <sheetViews>
    <sheetView zoomScaleNormal="100" workbookViewId="0">
      <selection activeCell="A2" sqref="A2"/>
    </sheetView>
  </sheetViews>
  <sheetFormatPr defaultColWidth="8.81640625" defaultRowHeight="14.5" x14ac:dyDescent="0.35"/>
  <cols>
    <col min="1" max="1" width="14.6328125" style="80" customWidth="1"/>
    <col min="2" max="2" width="13.08984375" style="80" customWidth="1"/>
    <col min="3" max="3" width="14.6328125" style="80" customWidth="1"/>
    <col min="4" max="4" width="11.81640625" style="80" customWidth="1"/>
    <col min="5" max="5" width="13.81640625" style="80" customWidth="1"/>
    <col min="6" max="6" width="13.08984375" style="80" customWidth="1"/>
    <col min="7" max="7" width="14.453125" style="80" customWidth="1"/>
    <col min="8" max="16384" width="8.81640625" style="80"/>
  </cols>
  <sheetData>
    <row r="1" spans="1:15" s="75" customFormat="1" ht="21" x14ac:dyDescent="0.5">
      <c r="A1" s="74" t="s">
        <v>60</v>
      </c>
    </row>
    <row r="2" spans="1:15" x14ac:dyDescent="0.35">
      <c r="A2" s="76"/>
      <c r="B2" s="77"/>
      <c r="C2" s="78"/>
      <c r="D2" s="78"/>
      <c r="E2" s="78"/>
      <c r="F2" s="78"/>
      <c r="G2" s="78"/>
      <c r="H2" s="79"/>
    </row>
    <row r="3" spans="1:15" x14ac:dyDescent="0.35">
      <c r="A3" s="81" t="s">
        <v>61</v>
      </c>
      <c r="B3" s="82" t="s">
        <v>62</v>
      </c>
      <c r="C3" s="82" t="s">
        <v>63</v>
      </c>
      <c r="D3" s="82" t="s">
        <v>64</v>
      </c>
      <c r="E3" s="82" t="s">
        <v>65</v>
      </c>
      <c r="F3" s="82" t="s">
        <v>66</v>
      </c>
      <c r="G3" s="82" t="s">
        <v>67</v>
      </c>
      <c r="H3" s="83"/>
      <c r="I3" s="84"/>
      <c r="J3" s="84"/>
      <c r="K3" s="84"/>
      <c r="L3" s="84"/>
      <c r="M3" s="84"/>
      <c r="N3" s="84"/>
      <c r="O3" s="84"/>
    </row>
    <row r="4" spans="1:15" x14ac:dyDescent="0.35">
      <c r="A4" s="82">
        <v>17</v>
      </c>
      <c r="B4" s="85">
        <f>9997.8091</f>
        <v>9997.8091000000004</v>
      </c>
      <c r="C4" s="85"/>
      <c r="D4" s="85">
        <v>10000</v>
      </c>
      <c r="E4" s="86">
        <f>(B4-C5)/B4</f>
        <v>4.2700355220820583E-4</v>
      </c>
      <c r="F4" s="86"/>
      <c r="G4" s="86">
        <f>(D4-D5)/D4</f>
        <v>5.9999999999999995E-4</v>
      </c>
      <c r="H4" s="83"/>
      <c r="I4" s="84"/>
      <c r="J4" s="84"/>
      <c r="K4" s="84"/>
      <c r="L4" s="84"/>
      <c r="M4" s="84"/>
      <c r="N4" s="84"/>
      <c r="O4" s="84"/>
    </row>
    <row r="5" spans="1:15" x14ac:dyDescent="0.35">
      <c r="A5" s="82">
        <v>18</v>
      </c>
      <c r="B5" s="85">
        <f>9991.8904</f>
        <v>9991.8904000000002</v>
      </c>
      <c r="C5" s="85">
        <f>9993.54</f>
        <v>9993.5400000000009</v>
      </c>
      <c r="D5" s="85">
        <v>9994</v>
      </c>
      <c r="E5" s="86">
        <f t="shared" ref="E5:F68" si="0">(B5-C6)/B5</f>
        <v>4.2600547339876916E-4</v>
      </c>
      <c r="F5" s="86">
        <f>(C5-D6)/C5</f>
        <v>5.4799760645385224E-4</v>
      </c>
      <c r="G5" s="86">
        <f t="shared" ref="G5:G68" si="1">(D5-D6)/D5</f>
        <v>5.9399999999999579E-4</v>
      </c>
      <c r="H5" s="83"/>
      <c r="I5" s="84"/>
      <c r="J5" s="84"/>
      <c r="K5" s="84"/>
      <c r="L5" s="84"/>
      <c r="M5" s="84"/>
      <c r="N5" s="84"/>
      <c r="O5" s="84"/>
    </row>
    <row r="6" spans="1:15" x14ac:dyDescent="0.35">
      <c r="A6" s="82">
        <v>19</v>
      </c>
      <c r="B6" s="85">
        <f>9986.0351</f>
        <v>9986.0350999999991</v>
      </c>
      <c r="C6" s="85">
        <f>9987.6338</f>
        <v>9987.6337999999996</v>
      </c>
      <c r="D6" s="85">
        <v>9988.063564</v>
      </c>
      <c r="E6" s="86">
        <f t="shared" si="0"/>
        <v>4.2499349917153584E-4</v>
      </c>
      <c r="F6" s="86">
        <f t="shared" si="0"/>
        <v>5.4399564710390683E-4</v>
      </c>
      <c r="G6" s="86">
        <f t="shared" si="1"/>
        <v>5.8700000000002836E-4</v>
      </c>
      <c r="H6" s="83"/>
      <c r="I6" s="84"/>
      <c r="J6" s="84"/>
      <c r="K6" s="84"/>
      <c r="L6" s="84"/>
      <c r="M6" s="84"/>
      <c r="N6" s="84"/>
      <c r="O6" s="84"/>
    </row>
    <row r="7" spans="1:15" x14ac:dyDescent="0.35">
      <c r="A7" s="82">
        <v>20</v>
      </c>
      <c r="B7" s="85">
        <f>9980.2432</f>
        <v>9980.2432000000008</v>
      </c>
      <c r="C7" s="85">
        <f>9981.7911</f>
        <v>9981.7911000000004</v>
      </c>
      <c r="D7" s="85">
        <v>9982.2005706879318</v>
      </c>
      <c r="E7" s="86">
        <f t="shared" si="0"/>
        <v>4.2499966333497751E-4</v>
      </c>
      <c r="F7" s="86">
        <f t="shared" si="0"/>
        <v>5.4100210975257905E-4</v>
      </c>
      <c r="G7" s="86">
        <f t="shared" si="1"/>
        <v>5.8200000000005307E-4</v>
      </c>
      <c r="H7" s="83"/>
      <c r="I7" s="84"/>
      <c r="J7" s="84"/>
      <c r="K7" s="84"/>
      <c r="L7" s="84"/>
      <c r="M7" s="84"/>
      <c r="N7" s="84"/>
      <c r="O7" s="84"/>
    </row>
    <row r="8" spans="1:15" x14ac:dyDescent="0.35">
      <c r="A8" s="82">
        <v>21</v>
      </c>
      <c r="B8" s="85">
        <f>9974.5046</f>
        <v>9974.5046000000002</v>
      </c>
      <c r="C8" s="85">
        <f>9976.0016</f>
        <v>9976.0015999999996</v>
      </c>
      <c r="D8" s="85">
        <v>9976.3909299557909</v>
      </c>
      <c r="E8" s="86">
        <f t="shared" si="0"/>
        <v>4.2500356358550202E-4</v>
      </c>
      <c r="F8" s="86">
        <f t="shared" si="0"/>
        <v>5.379958650762991E-4</v>
      </c>
      <c r="G8" s="86">
        <f t="shared" si="1"/>
        <v>5.770000000001309E-4</v>
      </c>
      <c r="H8" s="83"/>
      <c r="I8" s="84"/>
      <c r="J8" s="84"/>
      <c r="K8" s="84"/>
      <c r="L8" s="84"/>
      <c r="M8" s="84"/>
      <c r="N8" s="84"/>
      <c r="O8" s="84"/>
    </row>
    <row r="9" spans="1:15" x14ac:dyDescent="0.35">
      <c r="A9" s="82">
        <v>22</v>
      </c>
      <c r="B9" s="85">
        <f>9968.8391</f>
        <v>9968.8390999999992</v>
      </c>
      <c r="C9" s="85">
        <f>9970.2654</f>
        <v>9970.2654000000002</v>
      </c>
      <c r="D9" s="85">
        <v>9970.6345523892051</v>
      </c>
      <c r="E9" s="86">
        <f t="shared" si="0"/>
        <v>4.2700057221305837E-4</v>
      </c>
      <c r="F9" s="86">
        <f t="shared" si="0"/>
        <v>5.3499584622510965E-4</v>
      </c>
      <c r="G9" s="86">
        <f t="shared" si="1"/>
        <v>5.7200000000001347E-4</v>
      </c>
      <c r="H9" s="83"/>
      <c r="I9" s="84"/>
      <c r="J9" s="84"/>
      <c r="K9" s="84"/>
      <c r="L9" s="84"/>
      <c r="M9" s="84"/>
      <c r="N9" s="84"/>
      <c r="O9" s="84"/>
    </row>
    <row r="10" spans="1:15" x14ac:dyDescent="0.35">
      <c r="A10" s="82">
        <v>23</v>
      </c>
      <c r="B10" s="85">
        <f>9963.1967</f>
        <v>9963.1967000000004</v>
      </c>
      <c r="C10" s="85">
        <f>9964.5824</f>
        <v>9964.5823999999993</v>
      </c>
      <c r="D10" s="85">
        <v>9964.9313494252383</v>
      </c>
      <c r="E10" s="86">
        <f t="shared" si="0"/>
        <v>4.2899885736470873E-4</v>
      </c>
      <c r="F10" s="86">
        <f t="shared" si="0"/>
        <v>5.3400095447889606E-4</v>
      </c>
      <c r="G10" s="86">
        <f t="shared" si="1"/>
        <v>5.6899999999996168E-4</v>
      </c>
      <c r="H10" s="83"/>
      <c r="I10" s="84"/>
      <c r="J10" s="84"/>
      <c r="K10" s="84"/>
      <c r="L10" s="84"/>
      <c r="M10" s="84"/>
      <c r="N10" s="84"/>
      <c r="O10" s="84"/>
    </row>
    <row r="11" spans="1:15" x14ac:dyDescent="0.35">
      <c r="A11" s="82">
        <v>24</v>
      </c>
      <c r="B11" s="85">
        <f>9957.5775</f>
        <v>9957.5774999999994</v>
      </c>
      <c r="C11" s="85">
        <f>9958.9225</f>
        <v>9958.9225000000006</v>
      </c>
      <c r="D11" s="85">
        <v>9959.2613034874157</v>
      </c>
      <c r="E11" s="86">
        <f t="shared" si="0"/>
        <v>4.3099840297499716E-4</v>
      </c>
      <c r="F11" s="86">
        <f t="shared" si="0"/>
        <v>5.329991946079343E-4</v>
      </c>
      <c r="G11" s="86">
        <f t="shared" si="1"/>
        <v>5.6700000000006084E-4</v>
      </c>
      <c r="H11" s="83"/>
      <c r="I11" s="84"/>
      <c r="J11" s="84"/>
      <c r="K11" s="84"/>
      <c r="L11" s="84"/>
      <c r="M11" s="84"/>
      <c r="N11" s="84"/>
      <c r="O11" s="84"/>
    </row>
    <row r="12" spans="1:15" x14ac:dyDescent="0.35">
      <c r="A12" s="82">
        <v>25</v>
      </c>
      <c r="B12" s="85">
        <f>9951.9913</f>
        <v>9951.9912999999997</v>
      </c>
      <c r="C12" s="85">
        <f>9953.2858</f>
        <v>9953.2857999999997</v>
      </c>
      <c r="D12" s="85">
        <v>9953.6144023283377</v>
      </c>
      <c r="E12" s="86">
        <f t="shared" si="0"/>
        <v>4.3499837062749606E-4</v>
      </c>
      <c r="F12" s="86">
        <f t="shared" si="0"/>
        <v>5.3300422895306268E-4</v>
      </c>
      <c r="G12" s="86">
        <f t="shared" si="1"/>
        <v>5.6599999999987151E-4</v>
      </c>
      <c r="H12" s="83"/>
      <c r="I12" s="84"/>
      <c r="J12" s="84"/>
      <c r="K12" s="84"/>
      <c r="L12" s="84"/>
      <c r="M12" s="84"/>
      <c r="N12" s="84"/>
      <c r="O12" s="84"/>
    </row>
    <row r="13" spans="1:15" x14ac:dyDescent="0.35">
      <c r="A13" s="82">
        <v>26</v>
      </c>
      <c r="B13" s="85">
        <f>9946.3982</f>
        <v>9946.3981999999996</v>
      </c>
      <c r="C13" s="85">
        <f>9947.6622</f>
        <v>9947.6622000000007</v>
      </c>
      <c r="D13" s="85">
        <v>9947.9806565766212</v>
      </c>
      <c r="E13" s="86">
        <f t="shared" si="0"/>
        <v>4.3999847100422682E-4</v>
      </c>
      <c r="F13" s="86">
        <f t="shared" si="0"/>
        <v>5.3500494374031512E-4</v>
      </c>
      <c r="G13" s="86">
        <f t="shared" si="1"/>
        <v>5.6700000000002365E-4</v>
      </c>
      <c r="H13" s="83"/>
      <c r="I13" s="84"/>
      <c r="J13" s="84"/>
      <c r="K13" s="84"/>
      <c r="L13" s="84"/>
      <c r="M13" s="84"/>
      <c r="N13" s="84"/>
      <c r="O13" s="84"/>
    </row>
    <row r="14" spans="1:15" x14ac:dyDescent="0.35">
      <c r="A14" s="82">
        <v>27</v>
      </c>
      <c r="B14" s="85">
        <f>9940.7984</f>
        <v>9940.7983999999997</v>
      </c>
      <c r="C14" s="85">
        <f>9942.0218</f>
        <v>9942.0218000000004</v>
      </c>
      <c r="D14" s="85">
        <v>9942.340151544342</v>
      </c>
      <c r="E14" s="86">
        <f t="shared" si="0"/>
        <v>4.4699628955350342E-4</v>
      </c>
      <c r="F14" s="86">
        <f t="shared" si="0"/>
        <v>5.3799744655943604E-4</v>
      </c>
      <c r="G14" s="86">
        <f t="shared" si="1"/>
        <v>5.6999999999995379E-4</v>
      </c>
      <c r="H14" s="83"/>
      <c r="I14" s="84"/>
      <c r="J14" s="84"/>
      <c r="K14" s="84"/>
      <c r="L14" s="84"/>
      <c r="M14" s="84"/>
      <c r="N14" s="84"/>
      <c r="O14" s="84"/>
    </row>
    <row r="15" spans="1:15" x14ac:dyDescent="0.35">
      <c r="A15" s="82">
        <v>28</v>
      </c>
      <c r="B15" s="85">
        <f>9935.1818</f>
        <v>9935.1818000000003</v>
      </c>
      <c r="C15" s="85">
        <f>9936.3549</f>
        <v>9936.3549000000003</v>
      </c>
      <c r="D15" s="85">
        <v>9936.6730176579622</v>
      </c>
      <c r="E15" s="86">
        <f t="shared" si="0"/>
        <v>4.5499922306409512E-4</v>
      </c>
      <c r="F15" s="86">
        <f t="shared" si="0"/>
        <v>5.4200284796313925E-4</v>
      </c>
      <c r="G15" s="86">
        <f t="shared" si="1"/>
        <v>5.7399999999987355E-4</v>
      </c>
      <c r="H15" s="83"/>
      <c r="I15" s="84"/>
      <c r="J15" s="84"/>
      <c r="K15" s="84"/>
      <c r="L15" s="84"/>
      <c r="M15" s="84"/>
      <c r="N15" s="84"/>
      <c r="O15" s="84"/>
    </row>
    <row r="16" spans="1:15" x14ac:dyDescent="0.35">
      <c r="A16" s="82">
        <v>29</v>
      </c>
      <c r="B16" s="85">
        <f>9929.5088</f>
        <v>9929.5087999999996</v>
      </c>
      <c r="C16" s="85">
        <f>9930.6613</f>
        <v>9930.6612999999998</v>
      </c>
      <c r="D16" s="85">
        <v>9930.9693673458278</v>
      </c>
      <c r="E16" s="86">
        <f t="shared" si="0"/>
        <v>4.649978254713642E-4</v>
      </c>
      <c r="F16" s="86">
        <f t="shared" si="0"/>
        <v>5.4899615670427721E-4</v>
      </c>
      <c r="G16" s="86">
        <f t="shared" si="1"/>
        <v>5.7999999999993387E-4</v>
      </c>
      <c r="H16" s="83"/>
      <c r="I16" s="84"/>
      <c r="J16" s="84"/>
      <c r="K16" s="84"/>
      <c r="L16" s="84"/>
      <c r="M16" s="84"/>
      <c r="N16" s="84"/>
      <c r="O16" s="84"/>
    </row>
    <row r="17" spans="1:15" x14ac:dyDescent="0.35">
      <c r="A17" s="82">
        <v>30</v>
      </c>
      <c r="B17" s="85">
        <f>9923.7497</f>
        <v>9923.7497000000003</v>
      </c>
      <c r="C17" s="85">
        <f>9924.8916</f>
        <v>9924.8916000000008</v>
      </c>
      <c r="D17" s="85">
        <v>9925.2094051127679</v>
      </c>
      <c r="E17" s="86">
        <f t="shared" si="0"/>
        <v>4.7599951054795977E-4</v>
      </c>
      <c r="F17" s="86">
        <f t="shared" si="0"/>
        <v>5.5799787639493077E-4</v>
      </c>
      <c r="G17" s="86">
        <f t="shared" si="1"/>
        <v>5.9000000000003754E-4</v>
      </c>
      <c r="H17" s="83"/>
      <c r="I17" s="84"/>
      <c r="J17" s="84"/>
      <c r="K17" s="84"/>
      <c r="L17" s="84"/>
      <c r="M17" s="84"/>
      <c r="N17" s="84"/>
      <c r="O17" s="84"/>
    </row>
    <row r="18" spans="1:15" x14ac:dyDescent="0.35">
      <c r="A18" s="82">
        <v>31</v>
      </c>
      <c r="B18" s="85">
        <f>9917.9145</f>
        <v>9917.9145000000008</v>
      </c>
      <c r="C18" s="85">
        <f>9919.026</f>
        <v>9919.0259999999998</v>
      </c>
      <c r="D18" s="85">
        <v>9919.3535315637509</v>
      </c>
      <c r="E18" s="86">
        <f t="shared" si="0"/>
        <v>4.900022076213883E-4</v>
      </c>
      <c r="F18" s="86">
        <f t="shared" si="0"/>
        <v>5.6899934149291212E-4</v>
      </c>
      <c r="G18" s="86">
        <f t="shared" si="1"/>
        <v>6.020000000000812E-4</v>
      </c>
      <c r="H18" s="83"/>
      <c r="I18" s="84"/>
      <c r="J18" s="84"/>
      <c r="K18" s="84"/>
      <c r="L18" s="84"/>
      <c r="M18" s="84"/>
      <c r="N18" s="84"/>
      <c r="O18" s="84"/>
    </row>
    <row r="19" spans="1:15" x14ac:dyDescent="0.35">
      <c r="A19" s="82">
        <v>32</v>
      </c>
      <c r="B19" s="85">
        <f>9911.9538</f>
        <v>9911.9537999999993</v>
      </c>
      <c r="C19" s="85">
        <f>9913.0547</f>
        <v>9913.0547000000006</v>
      </c>
      <c r="D19" s="85">
        <v>9913.3820807377488</v>
      </c>
      <c r="E19" s="86">
        <f t="shared" si="0"/>
        <v>5.0699388853076921E-4</v>
      </c>
      <c r="F19" s="86">
        <f t="shared" si="0"/>
        <v>5.8399516408060926E-4</v>
      </c>
      <c r="G19" s="86">
        <f t="shared" si="1"/>
        <v>6.1699999999995309E-4</v>
      </c>
      <c r="H19" s="83"/>
      <c r="I19" s="84"/>
      <c r="J19" s="84"/>
      <c r="K19" s="84"/>
      <c r="L19" s="84"/>
      <c r="M19" s="84"/>
      <c r="N19" s="84"/>
      <c r="O19" s="84"/>
    </row>
    <row r="20" spans="1:15" x14ac:dyDescent="0.35">
      <c r="A20" s="82">
        <v>33</v>
      </c>
      <c r="B20" s="85">
        <f>9905.8282</f>
        <v>9905.8281999999999</v>
      </c>
      <c r="C20" s="85">
        <f>9906.9285</f>
        <v>9906.9285</v>
      </c>
      <c r="D20" s="85">
        <v>9907.265523993934</v>
      </c>
      <c r="E20" s="86">
        <f t="shared" si="0"/>
        <v>5.2700288099082461E-4</v>
      </c>
      <c r="F20" s="86">
        <f t="shared" si="0"/>
        <v>6.0200261658548864E-4</v>
      </c>
      <c r="G20" s="86">
        <f t="shared" si="1"/>
        <v>6.3599999999992547E-4</v>
      </c>
      <c r="H20" s="83"/>
      <c r="I20" s="84"/>
      <c r="J20" s="84"/>
      <c r="K20" s="84"/>
      <c r="L20" s="84"/>
      <c r="M20" s="84"/>
      <c r="N20" s="84"/>
      <c r="O20" s="84"/>
    </row>
    <row r="21" spans="1:15" x14ac:dyDescent="0.35">
      <c r="A21" s="82">
        <v>34</v>
      </c>
      <c r="B21" s="85">
        <f>9899.4984</f>
        <v>9899.4984000000004</v>
      </c>
      <c r="C21" s="85">
        <f>9900.6078</f>
        <v>9900.6077999999998</v>
      </c>
      <c r="D21" s="85">
        <v>9900.9645031206746</v>
      </c>
      <c r="E21" s="86">
        <f t="shared" si="0"/>
        <v>5.5000766503493991E-4</v>
      </c>
      <c r="F21" s="86">
        <f t="shared" si="0"/>
        <v>6.2399537242399281E-4</v>
      </c>
      <c r="G21" s="86">
        <f t="shared" si="1"/>
        <v>6.6000000000001095E-4</v>
      </c>
      <c r="H21" s="83"/>
      <c r="I21" s="84"/>
      <c r="J21" s="84"/>
      <c r="K21" s="84"/>
      <c r="L21" s="84"/>
      <c r="M21" s="84"/>
      <c r="N21" s="84"/>
      <c r="O21" s="84"/>
    </row>
    <row r="22" spans="1:15" x14ac:dyDescent="0.35">
      <c r="A22" s="82">
        <v>35</v>
      </c>
      <c r="B22" s="85">
        <f>9892.9151</f>
        <v>9892.9151000000002</v>
      </c>
      <c r="C22" s="85">
        <f>9894.0536</f>
        <v>9894.0535999999993</v>
      </c>
      <c r="D22" s="85">
        <v>9894.4298665486149</v>
      </c>
      <c r="E22" s="86">
        <f t="shared" si="0"/>
        <v>5.7699878572706469E-4</v>
      </c>
      <c r="F22" s="86">
        <f t="shared" si="0"/>
        <v>6.5099663796410574E-4</v>
      </c>
      <c r="G22" s="86">
        <f t="shared" si="1"/>
        <v>6.8900000000002672E-4</v>
      </c>
      <c r="H22" s="83"/>
      <c r="I22" s="84"/>
      <c r="J22" s="84"/>
      <c r="K22" s="84"/>
      <c r="L22" s="84"/>
      <c r="M22" s="84"/>
      <c r="N22" s="84"/>
      <c r="O22" s="84"/>
    </row>
    <row r="23" spans="1:15" x14ac:dyDescent="0.35">
      <c r="A23" s="82">
        <v>36</v>
      </c>
      <c r="B23" s="85">
        <f>9886.0395</f>
        <v>9886.0395000000008</v>
      </c>
      <c r="C23" s="85">
        <f>9887.2069</f>
        <v>9887.2068999999992</v>
      </c>
      <c r="D23" s="85">
        <v>9887.6126043705626</v>
      </c>
      <c r="E23" s="86">
        <f t="shared" si="0"/>
        <v>6.0799878454872894E-4</v>
      </c>
      <c r="F23" s="86">
        <f t="shared" si="0"/>
        <v>6.829964441222616E-4</v>
      </c>
      <c r="G23" s="86">
        <f t="shared" si="1"/>
        <v>7.2400000000002031E-4</v>
      </c>
      <c r="H23" s="83"/>
      <c r="I23" s="84"/>
      <c r="J23" s="84"/>
      <c r="K23" s="84"/>
      <c r="L23" s="84"/>
      <c r="M23" s="84"/>
      <c r="N23" s="84"/>
      <c r="O23" s="84"/>
    </row>
    <row r="24" spans="1:15" x14ac:dyDescent="0.35">
      <c r="A24" s="82">
        <v>37</v>
      </c>
      <c r="B24" s="85">
        <f>9878.8128</f>
        <v>9878.8127999999997</v>
      </c>
      <c r="C24" s="85">
        <f>9880.0288</f>
        <v>9880.0288</v>
      </c>
      <c r="D24" s="85">
        <v>9880.4539728449981</v>
      </c>
      <c r="E24" s="86">
        <f t="shared" si="0"/>
        <v>6.4400451033945808E-4</v>
      </c>
      <c r="F24" s="86">
        <f t="shared" si="0"/>
        <v>7.2199935735299157E-4</v>
      </c>
      <c r="G24" s="86">
        <f t="shared" si="1"/>
        <v>7.6500000000007205E-4</v>
      </c>
      <c r="H24" s="83"/>
      <c r="I24" s="84"/>
      <c r="J24" s="84"/>
      <c r="K24" s="84"/>
      <c r="L24" s="84"/>
      <c r="M24" s="84"/>
      <c r="N24" s="84"/>
      <c r="O24" s="84"/>
    </row>
    <row r="25" spans="1:15" x14ac:dyDescent="0.35">
      <c r="A25" s="82">
        <v>38</v>
      </c>
      <c r="B25" s="85">
        <f>9871.1665</f>
        <v>9871.1664999999994</v>
      </c>
      <c r="C25" s="85">
        <f>9872.4508</f>
        <v>9872.4508000000005</v>
      </c>
      <c r="D25" s="85">
        <v>9872.895425555771</v>
      </c>
      <c r="E25" s="86">
        <f t="shared" si="0"/>
        <v>6.8500516124413678E-4</v>
      </c>
      <c r="F25" s="86">
        <f t="shared" si="0"/>
        <v>7.6799961618503171E-4</v>
      </c>
      <c r="G25" s="86">
        <f t="shared" si="1"/>
        <v>8.1299999999992305E-4</v>
      </c>
      <c r="H25" s="83"/>
      <c r="I25" s="84"/>
      <c r="J25" s="84"/>
      <c r="K25" s="84"/>
      <c r="L25" s="84"/>
      <c r="M25" s="84"/>
      <c r="N25" s="84"/>
      <c r="O25" s="84"/>
    </row>
    <row r="26" spans="1:15" x14ac:dyDescent="0.35">
      <c r="A26" s="82">
        <v>39</v>
      </c>
      <c r="B26" s="85">
        <f>9863.0227</f>
        <v>9863.0226999999995</v>
      </c>
      <c r="C26" s="85">
        <f>9864.4047</f>
        <v>9864.4046999999991</v>
      </c>
      <c r="D26" s="85">
        <v>9864.8687615747949</v>
      </c>
      <c r="E26" s="86">
        <f t="shared" si="0"/>
        <v>7.3300044214627579E-4</v>
      </c>
      <c r="F26" s="86">
        <f t="shared" si="0"/>
        <v>8.2299687560214731E-4</v>
      </c>
      <c r="G26" s="86">
        <f t="shared" si="1"/>
        <v>8.7000000000008544E-4</v>
      </c>
      <c r="H26" s="87"/>
      <c r="I26" s="84"/>
      <c r="J26" s="84"/>
      <c r="K26" s="84"/>
      <c r="L26" s="84"/>
      <c r="M26" s="84"/>
      <c r="N26" s="84"/>
      <c r="O26" s="84"/>
    </row>
    <row r="27" spans="1:15" x14ac:dyDescent="0.35">
      <c r="A27" s="82">
        <v>40</v>
      </c>
      <c r="B27" s="85">
        <f>9854.3036</f>
        <v>9854.3035999999993</v>
      </c>
      <c r="C27" s="85">
        <f>9855.7931</f>
        <v>9855.7931000000008</v>
      </c>
      <c r="D27" s="85">
        <v>9856.286325752224</v>
      </c>
      <c r="E27" s="86">
        <f t="shared" si="0"/>
        <v>7.8800088927641961E-4</v>
      </c>
      <c r="F27" s="86">
        <f t="shared" si="0"/>
        <v>8.8700264365385105E-4</v>
      </c>
      <c r="G27" s="86">
        <f t="shared" si="1"/>
        <v>9.3699999999987576E-4</v>
      </c>
      <c r="H27" s="87"/>
      <c r="I27" s="84"/>
      <c r="J27" s="84"/>
      <c r="K27" s="84"/>
      <c r="L27" s="84"/>
      <c r="M27" s="84"/>
      <c r="N27" s="84"/>
      <c r="O27" s="84"/>
    </row>
    <row r="28" spans="1:15" x14ac:dyDescent="0.35">
      <c r="A28" s="82">
        <v>41</v>
      </c>
      <c r="B28" s="85">
        <f>9844.9025</f>
        <v>9844.9025000000001</v>
      </c>
      <c r="C28" s="85">
        <f>9846.5384</f>
        <v>9846.5383999999995</v>
      </c>
      <c r="D28" s="85">
        <v>9847.0509854649954</v>
      </c>
      <c r="E28" s="86">
        <f t="shared" si="0"/>
        <v>8.5099877830182788E-4</v>
      </c>
      <c r="F28" s="86">
        <f t="shared" si="0"/>
        <v>9.619953581112634E-4</v>
      </c>
      <c r="G28" s="86">
        <f t="shared" si="1"/>
        <v>1.0139999999998718E-3</v>
      </c>
      <c r="H28" s="87"/>
      <c r="I28" s="84"/>
      <c r="J28" s="84"/>
      <c r="K28" s="84"/>
      <c r="L28" s="84"/>
      <c r="M28" s="84"/>
      <c r="N28" s="84"/>
      <c r="O28" s="84"/>
    </row>
    <row r="29" spans="1:15" x14ac:dyDescent="0.35">
      <c r="A29" s="82">
        <v>42</v>
      </c>
      <c r="B29" s="85">
        <f>9834.703</f>
        <v>9834.7029999999995</v>
      </c>
      <c r="C29" s="85">
        <f>9836.5245</f>
        <v>9836.5244999999995</v>
      </c>
      <c r="D29" s="85">
        <v>9837.0660757657351</v>
      </c>
      <c r="E29" s="86">
        <f t="shared" si="0"/>
        <v>9.2200038984403614E-4</v>
      </c>
      <c r="F29" s="86">
        <f t="shared" si="0"/>
        <v>1.0490031496297235E-3</v>
      </c>
      <c r="G29" s="86">
        <f t="shared" si="1"/>
        <v>1.1040000000000186E-3</v>
      </c>
      <c r="H29" s="87"/>
      <c r="I29" s="84"/>
      <c r="J29" s="84"/>
      <c r="K29" s="84"/>
      <c r="L29" s="84"/>
      <c r="M29" s="84"/>
      <c r="N29" s="84"/>
      <c r="O29" s="84"/>
    </row>
    <row r="30" spans="1:15" x14ac:dyDescent="0.35">
      <c r="A30" s="82">
        <v>43</v>
      </c>
      <c r="B30" s="85">
        <f>9823.5994</f>
        <v>9823.5993999999992</v>
      </c>
      <c r="C30" s="85">
        <f>9825.6354</f>
        <v>9825.6353999999992</v>
      </c>
      <c r="D30" s="85">
        <v>9826.2059548180896</v>
      </c>
      <c r="E30" s="86">
        <f t="shared" si="0"/>
        <v>1.0030030336943962E-3</v>
      </c>
      <c r="F30" s="86">
        <f t="shared" si="0"/>
        <v>1.1500021642700986E-3</v>
      </c>
      <c r="G30" s="86">
        <f t="shared" si="1"/>
        <v>1.2079999999999012E-3</v>
      </c>
      <c r="H30" s="87"/>
      <c r="I30" s="84"/>
      <c r="J30" s="84"/>
      <c r="K30" s="84"/>
      <c r="L30" s="84"/>
      <c r="M30" s="84"/>
      <c r="N30" s="84"/>
      <c r="O30" s="84"/>
    </row>
    <row r="31" spans="1:15" x14ac:dyDescent="0.35">
      <c r="A31" s="82">
        <v>44</v>
      </c>
      <c r="B31" s="85">
        <f>9811.4473</f>
        <v>9811.4472999999998</v>
      </c>
      <c r="C31" s="85">
        <f>9813.7463</f>
        <v>9813.7463000000007</v>
      </c>
      <c r="D31" s="85">
        <v>9814.3358980246703</v>
      </c>
      <c r="E31" s="86">
        <f t="shared" si="0"/>
        <v>1.0960054792323658E-3</v>
      </c>
      <c r="F31" s="86">
        <f t="shared" si="0"/>
        <v>1.2670009323564146E-3</v>
      </c>
      <c r="G31" s="86">
        <f t="shared" si="1"/>
        <v>1.3270000000000194E-3</v>
      </c>
      <c r="H31" s="87"/>
      <c r="I31" s="84"/>
      <c r="J31" s="84"/>
      <c r="K31" s="84"/>
      <c r="L31" s="84"/>
      <c r="M31" s="84"/>
      <c r="N31" s="84"/>
      <c r="O31" s="84"/>
    </row>
    <row r="32" spans="1:15" x14ac:dyDescent="0.35">
      <c r="A32" s="82">
        <v>45</v>
      </c>
      <c r="B32" s="85">
        <f>9798.0837</f>
        <v>9798.0836999999992</v>
      </c>
      <c r="C32" s="85">
        <f>9800.6939</f>
        <v>9800.6939000000002</v>
      </c>
      <c r="D32" s="85">
        <v>9801.3122742879914</v>
      </c>
      <c r="E32" s="86">
        <f t="shared" si="0"/>
        <v>1.2010001506723123E-3</v>
      </c>
      <c r="F32" s="86">
        <f t="shared" si="0"/>
        <v>1.4019974844679485E-3</v>
      </c>
      <c r="G32" s="86">
        <f t="shared" si="1"/>
        <v>1.4649999999999626E-3</v>
      </c>
      <c r="H32" s="87"/>
      <c r="I32" s="84"/>
      <c r="J32" s="84"/>
      <c r="K32" s="84"/>
      <c r="L32" s="84"/>
      <c r="M32" s="84"/>
      <c r="N32" s="84"/>
      <c r="O32" s="84"/>
    </row>
    <row r="33" spans="1:15" x14ac:dyDescent="0.35">
      <c r="A33" s="82">
        <v>46</v>
      </c>
      <c r="B33" s="85">
        <f>9783.3371</f>
        <v>9783.3371000000006</v>
      </c>
      <c r="C33" s="85">
        <f>9786.3162</f>
        <v>9786.3161999999993</v>
      </c>
      <c r="D33" s="85">
        <v>9786.9533518061598</v>
      </c>
      <c r="E33" s="86">
        <f t="shared" si="0"/>
        <v>1.3199994917890204E-3</v>
      </c>
      <c r="F33" s="86">
        <f t="shared" si="0"/>
        <v>1.5569992036911344E-3</v>
      </c>
      <c r="G33" s="86">
        <f t="shared" si="1"/>
        <v>1.6220000000000613E-3</v>
      </c>
      <c r="H33" s="87"/>
      <c r="I33" s="84"/>
      <c r="J33" s="84"/>
      <c r="K33" s="84"/>
      <c r="L33" s="84"/>
      <c r="M33" s="84"/>
      <c r="N33" s="84"/>
      <c r="O33" s="84"/>
    </row>
    <row r="34" spans="1:15" x14ac:dyDescent="0.35">
      <c r="A34" s="82">
        <v>47</v>
      </c>
      <c r="B34" s="85">
        <f>9766.9983</f>
        <v>9766.9982999999993</v>
      </c>
      <c r="C34" s="85">
        <f>9770.4231</f>
        <v>9770.4231</v>
      </c>
      <c r="D34" s="85">
        <v>9771.0789134695297</v>
      </c>
      <c r="E34" s="86">
        <f t="shared" si="0"/>
        <v>1.4549915504746263E-3</v>
      </c>
      <c r="F34" s="86">
        <f t="shared" si="0"/>
        <v>1.7349986340450261E-3</v>
      </c>
      <c r="G34" s="86">
        <f t="shared" si="1"/>
        <v>1.8019999999999542E-3</v>
      </c>
      <c r="H34" s="87"/>
      <c r="I34" s="84"/>
      <c r="J34" s="84"/>
      <c r="K34" s="84"/>
      <c r="L34" s="84"/>
      <c r="M34" s="84"/>
      <c r="N34" s="84"/>
      <c r="O34" s="84"/>
    </row>
    <row r="35" spans="1:15" x14ac:dyDescent="0.35">
      <c r="A35" s="82">
        <v>48</v>
      </c>
      <c r="B35" s="85">
        <f>9748.8603</f>
        <v>9748.8603000000003</v>
      </c>
      <c r="C35" s="85">
        <f>9752.7874</f>
        <v>9752.7873999999993</v>
      </c>
      <c r="D35" s="85">
        <v>9753.471429267458</v>
      </c>
      <c r="E35" s="86">
        <f t="shared" si="0"/>
        <v>1.607008359736284E-3</v>
      </c>
      <c r="F35" s="86">
        <f t="shared" si="0"/>
        <v>1.9380040379543097E-3</v>
      </c>
      <c r="G35" s="86">
        <f t="shared" si="1"/>
        <v>2.0079999999999599E-3</v>
      </c>
      <c r="H35" s="87"/>
      <c r="I35" s="84"/>
      <c r="J35" s="84"/>
      <c r="K35" s="84"/>
      <c r="L35" s="84"/>
      <c r="M35" s="84"/>
      <c r="N35" s="84"/>
      <c r="O35" s="84"/>
    </row>
    <row r="36" spans="1:15" x14ac:dyDescent="0.35">
      <c r="A36" s="82">
        <v>49</v>
      </c>
      <c r="B36" s="85">
        <f>9728.6499</f>
        <v>9728.6499000000003</v>
      </c>
      <c r="C36" s="85">
        <f>9733.1938</f>
        <v>9733.1937999999991</v>
      </c>
      <c r="D36" s="85">
        <v>9733.8864586374893</v>
      </c>
      <c r="E36" s="86">
        <f t="shared" si="0"/>
        <v>1.7779959375453095E-3</v>
      </c>
      <c r="F36" s="86">
        <f t="shared" si="0"/>
        <v>2.1699949009869116E-3</v>
      </c>
      <c r="G36" s="86">
        <f t="shared" si="1"/>
        <v>2.2410000000001075E-3</v>
      </c>
      <c r="H36" s="87"/>
      <c r="I36" s="84"/>
      <c r="J36" s="84"/>
      <c r="K36" s="84"/>
      <c r="L36" s="84"/>
      <c r="M36" s="84"/>
      <c r="N36" s="84"/>
      <c r="O36" s="84"/>
    </row>
    <row r="37" spans="1:15" x14ac:dyDescent="0.35">
      <c r="A37" s="82">
        <v>50</v>
      </c>
      <c r="B37" s="85">
        <f>9706.0977</f>
        <v>9706.0977000000003</v>
      </c>
      <c r="C37" s="85">
        <f>9711.3524</f>
        <v>9711.3523999999998</v>
      </c>
      <c r="D37" s="85">
        <v>9712.0728190836817</v>
      </c>
      <c r="E37" s="86">
        <f t="shared" si="0"/>
        <v>1.9710083899115109E-3</v>
      </c>
      <c r="F37" s="86">
        <f t="shared" si="0"/>
        <v>2.434002863141761E-3</v>
      </c>
      <c r="G37" s="86">
        <f t="shared" si="1"/>
        <v>2.5079999999998615E-3</v>
      </c>
      <c r="H37" s="87"/>
      <c r="I37" s="84"/>
      <c r="J37" s="84"/>
      <c r="K37" s="84"/>
      <c r="L37" s="84"/>
      <c r="M37" s="84"/>
      <c r="N37" s="84"/>
      <c r="O37" s="84"/>
    </row>
    <row r="38" spans="1:15" x14ac:dyDescent="0.35">
      <c r="A38" s="82">
        <v>51</v>
      </c>
      <c r="B38" s="85">
        <f>9680.899</f>
        <v>9680.8989999999994</v>
      </c>
      <c r="C38" s="85">
        <f>9686.9669</f>
        <v>9686.9668999999994</v>
      </c>
      <c r="D38" s="85">
        <v>9687.7149404534211</v>
      </c>
      <c r="E38" s="86">
        <f t="shared" si="0"/>
        <v>2.1890012487475593E-3</v>
      </c>
      <c r="F38" s="86">
        <f t="shared" si="0"/>
        <v>2.7319955861841161E-3</v>
      </c>
      <c r="G38" s="86">
        <f t="shared" si="1"/>
        <v>2.8089999999999665E-3</v>
      </c>
      <c r="H38" s="87"/>
      <c r="I38" s="84"/>
      <c r="J38" s="84"/>
      <c r="K38" s="84"/>
      <c r="L38" s="84"/>
      <c r="M38" s="84"/>
      <c r="N38" s="84"/>
      <c r="O38" s="84"/>
    </row>
    <row r="39" spans="1:15" x14ac:dyDescent="0.35">
      <c r="A39" s="82">
        <v>52</v>
      </c>
      <c r="B39" s="85">
        <f>9652.6965</f>
        <v>9652.6965</v>
      </c>
      <c r="C39" s="85">
        <f>9659.7075</f>
        <v>9659.7075000000004</v>
      </c>
      <c r="D39" s="85">
        <v>9660.5021491856878</v>
      </c>
      <c r="E39" s="86">
        <f t="shared" si="0"/>
        <v>2.4329989034670863E-3</v>
      </c>
      <c r="F39" s="86">
        <f t="shared" si="0"/>
        <v>3.069994985722471E-3</v>
      </c>
      <c r="G39" s="86">
        <f t="shared" si="1"/>
        <v>3.1519999999999829E-3</v>
      </c>
      <c r="H39" s="87"/>
      <c r="I39" s="84"/>
      <c r="J39" s="84"/>
      <c r="K39" s="84"/>
      <c r="L39" s="84"/>
      <c r="M39" s="84"/>
      <c r="N39" s="84"/>
      <c r="O39" s="84"/>
    </row>
    <row r="40" spans="1:15" x14ac:dyDescent="0.35">
      <c r="A40" s="82">
        <v>53</v>
      </c>
      <c r="B40" s="85">
        <f>9621.1006</f>
        <v>9621.1005999999998</v>
      </c>
      <c r="C40" s="85">
        <f>9629.2115</f>
        <v>9629.2114999999994</v>
      </c>
      <c r="D40" s="85">
        <v>9630.0522464114547</v>
      </c>
      <c r="E40" s="86">
        <f t="shared" si="0"/>
        <v>2.7069979914771461E-3</v>
      </c>
      <c r="F40" s="86">
        <f t="shared" si="0"/>
        <v>3.4519969250435467E-3</v>
      </c>
      <c r="G40" s="86">
        <f t="shared" si="1"/>
        <v>3.5389999999999042E-3</v>
      </c>
      <c r="H40" s="87"/>
      <c r="I40" s="84"/>
      <c r="J40" s="84"/>
      <c r="K40" s="84"/>
      <c r="L40" s="84"/>
      <c r="M40" s="84"/>
      <c r="N40" s="84"/>
      <c r="O40" s="84"/>
    </row>
    <row r="41" spans="1:15" x14ac:dyDescent="0.35">
      <c r="A41" s="82">
        <v>54</v>
      </c>
      <c r="B41" s="85">
        <f>9585.6916</f>
        <v>9585.6916000000001</v>
      </c>
      <c r="C41" s="85">
        <f>9595.0563</f>
        <v>9595.0563000000002</v>
      </c>
      <c r="D41" s="85">
        <v>9595.9714915114055</v>
      </c>
      <c r="E41" s="86">
        <f t="shared" si="0"/>
        <v>3.0140026620509384E-3</v>
      </c>
      <c r="F41" s="86">
        <f t="shared" si="0"/>
        <v>3.8809976694815468E-3</v>
      </c>
      <c r="G41" s="86">
        <f t="shared" si="1"/>
        <v>3.9760000000000177E-3</v>
      </c>
      <c r="H41" s="87"/>
      <c r="I41" s="84"/>
      <c r="J41" s="84"/>
      <c r="K41" s="84"/>
      <c r="L41" s="84"/>
      <c r="M41" s="84"/>
      <c r="N41" s="84"/>
      <c r="O41" s="84"/>
    </row>
    <row r="42" spans="1:15" x14ac:dyDescent="0.35">
      <c r="A42" s="82">
        <v>55</v>
      </c>
      <c r="B42" s="85">
        <f>9545.9929</f>
        <v>9545.9928999999993</v>
      </c>
      <c r="C42" s="85">
        <f>9556.8003</f>
        <v>9556.8003000000008</v>
      </c>
      <c r="D42" s="85">
        <v>9557.817908861156</v>
      </c>
      <c r="E42" s="86">
        <f t="shared" si="0"/>
        <v>3.3579953741636748E-3</v>
      </c>
      <c r="F42" s="86">
        <f t="shared" si="0"/>
        <v>4.3629957794080534E-3</v>
      </c>
      <c r="G42" s="86">
        <f t="shared" si="1"/>
        <v>4.4690000000000294E-3</v>
      </c>
      <c r="H42" s="87"/>
      <c r="I42" s="84"/>
      <c r="J42" s="84"/>
      <c r="K42" s="84"/>
      <c r="L42" s="84"/>
      <c r="M42" s="84"/>
      <c r="N42" s="84"/>
      <c r="O42" s="84"/>
    </row>
    <row r="43" spans="1:15" x14ac:dyDescent="0.35">
      <c r="A43" s="82">
        <v>56</v>
      </c>
      <c r="B43" s="85">
        <f>9501.4839</f>
        <v>9501.4838999999993</v>
      </c>
      <c r="C43" s="85">
        <f>9513.9375</f>
        <v>9513.9375</v>
      </c>
      <c r="D43" s="85">
        <v>9515.1040206264552</v>
      </c>
      <c r="E43" s="86">
        <f t="shared" si="0"/>
        <v>3.7420049725074506E-3</v>
      </c>
      <c r="F43" s="86">
        <f t="shared" si="0"/>
        <v>4.9030043635657347E-3</v>
      </c>
      <c r="G43" s="86">
        <f t="shared" si="1"/>
        <v>5.0249999999998846E-3</v>
      </c>
      <c r="H43" s="87"/>
      <c r="I43" s="84"/>
      <c r="J43" s="84"/>
      <c r="K43" s="84"/>
      <c r="L43" s="84"/>
      <c r="M43" s="84"/>
      <c r="N43" s="84"/>
      <c r="O43" s="84"/>
    </row>
    <row r="44" spans="1:15" x14ac:dyDescent="0.35">
      <c r="A44" s="82">
        <v>57</v>
      </c>
      <c r="B44" s="85">
        <f>9451.5938</f>
        <v>9451.5938000000006</v>
      </c>
      <c r="C44" s="85">
        <f>9465.9293</f>
        <v>9465.9292999999998</v>
      </c>
      <c r="D44" s="85">
        <v>9467.2906229228083</v>
      </c>
      <c r="E44" s="86">
        <f t="shared" si="0"/>
        <v>4.1710002391342586E-3</v>
      </c>
      <c r="F44" s="86">
        <f t="shared" si="0"/>
        <v>5.5069996240839107E-3</v>
      </c>
      <c r="G44" s="86">
        <f t="shared" si="1"/>
        <v>5.6499999999999519E-3</v>
      </c>
      <c r="H44" s="87"/>
      <c r="I44" s="84"/>
      <c r="J44" s="84"/>
      <c r="K44" s="84"/>
      <c r="L44" s="84"/>
      <c r="M44" s="84"/>
      <c r="N44" s="84"/>
      <c r="O44" s="84"/>
    </row>
    <row r="45" spans="1:15" x14ac:dyDescent="0.35">
      <c r="A45" s="82">
        <v>58</v>
      </c>
      <c r="B45" s="85">
        <f>9395.6971</f>
        <v>9395.6970999999994</v>
      </c>
      <c r="C45" s="85">
        <f>9412.1712</f>
        <v>9412.1712000000007</v>
      </c>
      <c r="D45" s="85">
        <v>9413.8004309032949</v>
      </c>
      <c r="E45" s="86">
        <f t="shared" si="0"/>
        <v>4.6490004451079725E-3</v>
      </c>
      <c r="F45" s="86">
        <f t="shared" si="0"/>
        <v>6.1800012130892911E-3</v>
      </c>
      <c r="G45" s="86">
        <f t="shared" si="1"/>
        <v>6.3520000000000633E-3</v>
      </c>
      <c r="H45" s="87"/>
      <c r="I45" s="84"/>
      <c r="J45" s="84"/>
      <c r="K45" s="84"/>
      <c r="L45" s="84"/>
      <c r="M45" s="84"/>
      <c r="N45" s="84"/>
      <c r="O45" s="84"/>
    </row>
    <row r="46" spans="1:15" x14ac:dyDescent="0.35">
      <c r="A46" s="82">
        <v>59</v>
      </c>
      <c r="B46" s="85">
        <f>9333.1284</f>
        <v>9333.1283999999996</v>
      </c>
      <c r="C46" s="85">
        <f>9352.0165</f>
        <v>9352.0164999999997</v>
      </c>
      <c r="D46" s="85">
        <v>9354.0039705661966</v>
      </c>
      <c r="E46" s="86">
        <f t="shared" si="0"/>
        <v>5.1820030676958517E-3</v>
      </c>
      <c r="F46" s="86">
        <f t="shared" si="0"/>
        <v>6.9289995140242519E-3</v>
      </c>
      <c r="G46" s="86">
        <f t="shared" si="1"/>
        <v>7.1400000000001072E-3</v>
      </c>
      <c r="H46" s="87"/>
      <c r="I46" s="84"/>
      <c r="J46" s="84"/>
      <c r="K46" s="84"/>
      <c r="L46" s="84"/>
      <c r="M46" s="84"/>
      <c r="N46" s="84"/>
      <c r="O46" s="84"/>
    </row>
    <row r="47" spans="1:15" x14ac:dyDescent="0.35">
      <c r="A47" s="82">
        <v>60</v>
      </c>
      <c r="B47" s="85">
        <f>9263.1422</f>
        <v>9263.1422000000002</v>
      </c>
      <c r="C47" s="85">
        <f>9284.7641</f>
        <v>9284.7641000000003</v>
      </c>
      <c r="D47" s="85">
        <v>9287.2163822163529</v>
      </c>
      <c r="E47" s="86">
        <f t="shared" si="0"/>
        <v>5.7740018284507793E-3</v>
      </c>
      <c r="F47" s="86">
        <f t="shared" si="0"/>
        <v>7.759999804603286E-3</v>
      </c>
      <c r="G47" s="86">
        <f t="shared" si="1"/>
        <v>8.022000000000069E-3</v>
      </c>
      <c r="H47" s="87"/>
      <c r="I47" s="84"/>
      <c r="J47" s="84"/>
      <c r="K47" s="84"/>
      <c r="L47" s="84"/>
      <c r="M47" s="84"/>
      <c r="N47" s="84"/>
      <c r="O47" s="84"/>
    </row>
    <row r="48" spans="1:15" x14ac:dyDescent="0.35">
      <c r="A48" s="82">
        <v>61</v>
      </c>
      <c r="B48" s="85">
        <f>9184.9687</f>
        <v>9184.9686999999994</v>
      </c>
      <c r="C48" s="85">
        <f>9209.6568</f>
        <v>9209.6568000000007</v>
      </c>
      <c r="D48" s="85">
        <v>9212.7143323982127</v>
      </c>
      <c r="E48" s="86">
        <f t="shared" si="0"/>
        <v>6.4329996029273617E-3</v>
      </c>
      <c r="F48" s="86">
        <f t="shared" si="0"/>
        <v>8.6799989140056398E-3</v>
      </c>
      <c r="G48" s="86">
        <f t="shared" si="1"/>
        <v>9.0090000000001332E-3</v>
      </c>
      <c r="H48" s="87"/>
      <c r="I48" s="84"/>
      <c r="J48" s="84"/>
      <c r="K48" s="84"/>
      <c r="L48" s="84"/>
      <c r="M48" s="84"/>
      <c r="N48" s="84"/>
      <c r="O48" s="84"/>
    </row>
    <row r="49" spans="1:15" x14ac:dyDescent="0.35">
      <c r="A49" s="82">
        <v>62</v>
      </c>
      <c r="B49" s="85">
        <f>9097.7405</f>
        <v>9097.7404999999999</v>
      </c>
      <c r="C49" s="85">
        <f>9125.8818</f>
        <v>9125.8817999999992</v>
      </c>
      <c r="D49" s="85">
        <v>9129.716988977636</v>
      </c>
      <c r="E49" s="86">
        <f t="shared" si="0"/>
        <v>7.1640095691890941E-3</v>
      </c>
      <c r="F49" s="86">
        <f t="shared" si="0"/>
        <v>9.6959955381960353E-3</v>
      </c>
      <c r="G49" s="86">
        <f t="shared" si="1"/>
        <v>1.0111999999999927E-2</v>
      </c>
      <c r="H49" s="87"/>
      <c r="I49" s="84"/>
      <c r="J49" s="84"/>
      <c r="K49" s="84"/>
      <c r="L49" s="84"/>
      <c r="M49" s="84"/>
      <c r="N49" s="84"/>
      <c r="O49" s="84"/>
    </row>
    <row r="50" spans="1:15" x14ac:dyDescent="0.35">
      <c r="A50" s="82">
        <v>63</v>
      </c>
      <c r="B50" s="85">
        <f>9000.5884</f>
        <v>9000.5884000000005</v>
      </c>
      <c r="C50" s="85">
        <f>9032.5642</f>
        <v>9032.5642000000007</v>
      </c>
      <c r="D50" s="85">
        <v>9037.3972907850948</v>
      </c>
      <c r="E50" s="86">
        <f t="shared" si="0"/>
        <v>7.9740008997635017E-3</v>
      </c>
      <c r="F50" s="86">
        <f t="shared" si="0"/>
        <v>1.0814995821626389E-2</v>
      </c>
      <c r="G50" s="86">
        <f t="shared" si="1"/>
        <v>1.134400000000001E-2</v>
      </c>
      <c r="H50" s="87"/>
      <c r="I50" s="84"/>
      <c r="J50" s="84"/>
      <c r="K50" s="84"/>
      <c r="L50" s="84"/>
      <c r="M50" s="84"/>
      <c r="N50" s="84"/>
      <c r="O50" s="84"/>
    </row>
    <row r="51" spans="1:15" x14ac:dyDescent="0.35">
      <c r="A51" s="82">
        <v>64</v>
      </c>
      <c r="B51" s="85">
        <f>8892.5741</f>
        <v>8892.5740999999998</v>
      </c>
      <c r="C51" s="85">
        <f>8928.8177</f>
        <v>8928.8176999999996</v>
      </c>
      <c r="D51" s="85">
        <v>8934.8770559184286</v>
      </c>
      <c r="E51" s="86">
        <f t="shared" si="0"/>
        <v>8.8709972065344304E-3</v>
      </c>
      <c r="F51" s="86">
        <f t="shared" si="0"/>
        <v>1.2046000303559628E-2</v>
      </c>
      <c r="G51" s="86">
        <f t="shared" si="1"/>
        <v>1.271599999999987E-2</v>
      </c>
      <c r="H51" s="87"/>
      <c r="I51" s="84"/>
      <c r="J51" s="84"/>
      <c r="K51" s="84"/>
      <c r="L51" s="84"/>
      <c r="M51" s="84"/>
      <c r="N51" s="84"/>
      <c r="O51" s="84"/>
    </row>
    <row r="52" spans="1:15" x14ac:dyDescent="0.35">
      <c r="A52" s="82">
        <v>65</v>
      </c>
      <c r="B52" s="85">
        <f>8772.7359</f>
        <v>8772.7358999999997</v>
      </c>
      <c r="C52" s="85">
        <f>8813.6881</f>
        <v>8813.6880999999994</v>
      </c>
      <c r="D52" s="85">
        <v>8821.261159275371</v>
      </c>
      <c r="E52" s="86">
        <f t="shared" si="0"/>
        <v>9.864003771046995E-3</v>
      </c>
      <c r="F52" s="86">
        <f t="shared" si="0"/>
        <v>1.3395999730939915E-2</v>
      </c>
      <c r="G52" s="86">
        <f t="shared" si="1"/>
        <v>1.4243000000000096E-2</v>
      </c>
      <c r="H52" s="87"/>
      <c r="I52" s="84"/>
      <c r="J52" s="84"/>
      <c r="K52" s="84"/>
      <c r="L52" s="84"/>
      <c r="M52" s="84"/>
      <c r="N52" s="84"/>
      <c r="O52" s="84"/>
    </row>
    <row r="53" spans="1:15" x14ac:dyDescent="0.35">
      <c r="A53" s="82">
        <v>66</v>
      </c>
      <c r="B53" s="85">
        <f>8640.0481</f>
        <v>8640.0481</v>
      </c>
      <c r="C53" s="85">
        <f>8686.2016</f>
        <v>8686.2016000000003</v>
      </c>
      <c r="D53" s="85">
        <v>8695.6199365838111</v>
      </c>
      <c r="E53" s="86">
        <f t="shared" si="0"/>
        <v>1.0959996854647188E-2</v>
      </c>
      <c r="F53" s="86">
        <f t="shared" si="0"/>
        <v>1.4872996409078921E-2</v>
      </c>
      <c r="G53" s="86">
        <f t="shared" si="1"/>
        <v>1.5940000000000044E-2</v>
      </c>
      <c r="H53" s="87"/>
      <c r="I53" s="84"/>
      <c r="J53" s="84"/>
      <c r="K53" s="84"/>
      <c r="L53" s="84"/>
      <c r="M53" s="84"/>
      <c r="N53" s="84"/>
      <c r="O53" s="84"/>
    </row>
    <row r="54" spans="1:15" x14ac:dyDescent="0.35">
      <c r="A54" s="82">
        <v>67</v>
      </c>
      <c r="B54" s="85">
        <f>8493.5187</f>
        <v>8493.5187000000005</v>
      </c>
      <c r="C54" s="85">
        <f>8545.3532</f>
        <v>8545.3531999999996</v>
      </c>
      <c r="D54" s="85">
        <v>8557.0117547946647</v>
      </c>
      <c r="E54" s="86">
        <f t="shared" si="0"/>
        <v>1.2168996578532426E-2</v>
      </c>
      <c r="F54" s="86">
        <f t="shared" si="0"/>
        <v>1.6484002407623596E-2</v>
      </c>
      <c r="G54" s="86">
        <f t="shared" si="1"/>
        <v>1.7823999999999889E-2</v>
      </c>
      <c r="H54" s="87"/>
      <c r="I54" s="84"/>
      <c r="J54" s="84"/>
      <c r="K54" s="84"/>
      <c r="L54" s="84"/>
      <c r="M54" s="84"/>
      <c r="N54" s="84"/>
      <c r="O54" s="84"/>
    </row>
    <row r="55" spans="1:15" x14ac:dyDescent="0.35">
      <c r="A55" s="82">
        <v>68</v>
      </c>
      <c r="B55" s="85">
        <f>8332.1396</f>
        <v>8332.1396000000004</v>
      </c>
      <c r="C55" s="85">
        <f>8390.1611</f>
        <v>8390.1610999999994</v>
      </c>
      <c r="D55" s="85">
        <v>8404.4915772772056</v>
      </c>
      <c r="E55" s="86">
        <f t="shared" si="0"/>
        <v>1.3502006135375026E-2</v>
      </c>
      <c r="F55" s="86">
        <f t="shared" si="0"/>
        <v>1.823900181143295E-2</v>
      </c>
      <c r="G55" s="86">
        <f t="shared" si="1"/>
        <v>1.9912999999999938E-2</v>
      </c>
      <c r="H55" s="87"/>
      <c r="I55" s="84"/>
      <c r="J55" s="84"/>
      <c r="K55" s="84"/>
      <c r="L55" s="84"/>
      <c r="M55" s="84"/>
      <c r="N55" s="84"/>
      <c r="O55" s="84"/>
    </row>
    <row r="56" spans="1:15" x14ac:dyDescent="0.35">
      <c r="A56" s="82">
        <v>69</v>
      </c>
      <c r="B56" s="85">
        <f>8154.9318</f>
        <v>8154.9318000000003</v>
      </c>
      <c r="C56" s="85">
        <f>8219.639</f>
        <v>8219.6389999999992</v>
      </c>
      <c r="D56" s="85">
        <v>8237.1329364988851</v>
      </c>
      <c r="E56" s="86">
        <f t="shared" si="0"/>
        <v>1.4969003174250987E-2</v>
      </c>
      <c r="F56" s="86">
        <f t="shared" si="0"/>
        <v>2.0144994220273917E-2</v>
      </c>
      <c r="G56" s="86">
        <f t="shared" si="1"/>
        <v>2.2225999999999965E-2</v>
      </c>
      <c r="H56" s="87"/>
      <c r="I56" s="84"/>
      <c r="J56" s="84"/>
      <c r="K56" s="84"/>
      <c r="L56" s="84"/>
      <c r="M56" s="84"/>
      <c r="N56" s="84"/>
      <c r="O56" s="84"/>
    </row>
    <row r="57" spans="1:15" x14ac:dyDescent="0.35">
      <c r="A57" s="82">
        <v>70</v>
      </c>
      <c r="B57" s="85">
        <f>7960.9776</f>
        <v>7960.9776000000002</v>
      </c>
      <c r="C57" s="85">
        <f>8032.8606</f>
        <v>8032.8606</v>
      </c>
      <c r="D57" s="85">
        <v>8054.0544198522612</v>
      </c>
      <c r="E57" s="86">
        <f t="shared" si="0"/>
        <v>1.6582008722144881E-2</v>
      </c>
      <c r="F57" s="86">
        <f t="shared" si="0"/>
        <v>2.220999712542468E-2</v>
      </c>
      <c r="G57" s="86">
        <f t="shared" si="1"/>
        <v>2.4782999999999972E-2</v>
      </c>
      <c r="H57" s="87"/>
      <c r="I57" s="84"/>
      <c r="J57" s="84"/>
      <c r="K57" s="84"/>
      <c r="L57" s="84"/>
      <c r="M57" s="84"/>
      <c r="N57" s="84"/>
      <c r="O57" s="84"/>
    </row>
    <row r="58" spans="1:15" x14ac:dyDescent="0.35">
      <c r="A58" s="82">
        <v>71</v>
      </c>
      <c r="B58" s="85">
        <f>7749.4659</f>
        <v>7749.4659000000001</v>
      </c>
      <c r="C58" s="85">
        <f>7828.9686</f>
        <v>7828.9686000000002</v>
      </c>
      <c r="D58" s="85">
        <v>7854.4507891650628</v>
      </c>
      <c r="E58" s="86">
        <f t="shared" si="0"/>
        <v>1.8352993849550376E-2</v>
      </c>
      <c r="F58" s="86">
        <f t="shared" si="0"/>
        <v>2.4440994605678765E-2</v>
      </c>
      <c r="G58" s="86">
        <f t="shared" si="1"/>
        <v>2.7606000000000047E-2</v>
      </c>
      <c r="H58" s="87"/>
      <c r="I58" s="84"/>
      <c r="J58" s="84"/>
      <c r="K58" s="84"/>
      <c r="L58" s="84"/>
      <c r="M58" s="84"/>
      <c r="N58" s="84"/>
      <c r="O58" s="84"/>
    </row>
    <row r="59" spans="1:15" x14ac:dyDescent="0.35">
      <c r="A59" s="82">
        <v>72</v>
      </c>
      <c r="B59" s="85">
        <f>7519.7027</f>
        <v>7519.7026999999998</v>
      </c>
      <c r="C59" s="85">
        <f>7607.24</f>
        <v>7607.24</v>
      </c>
      <c r="D59" s="85">
        <v>7637.6208206793717</v>
      </c>
      <c r="E59" s="86">
        <f t="shared" si="0"/>
        <v>2.0296001861882077E-2</v>
      </c>
      <c r="F59" s="86">
        <f t="shared" si="0"/>
        <v>2.6847005706439796E-2</v>
      </c>
      <c r="G59" s="86">
        <f t="shared" si="1"/>
        <v>3.0718000000000006E-2</v>
      </c>
      <c r="H59" s="87"/>
      <c r="I59" s="84"/>
      <c r="J59" s="84"/>
      <c r="K59" s="84"/>
      <c r="L59" s="84"/>
      <c r="M59" s="84"/>
      <c r="N59" s="84"/>
      <c r="O59" s="84"/>
    </row>
    <row r="60" spans="1:15" x14ac:dyDescent="0.35">
      <c r="A60" s="82">
        <v>73</v>
      </c>
      <c r="B60" s="85">
        <f>7271.1461</f>
        <v>7271.1460999999999</v>
      </c>
      <c r="C60" s="85">
        <f>7367.0828</f>
        <v>7367.0828000000001</v>
      </c>
      <c r="D60" s="85">
        <v>7403.0083843097427</v>
      </c>
      <c r="E60" s="86">
        <f t="shared" si="0"/>
        <v>2.242299876218963E-2</v>
      </c>
      <c r="F60" s="86">
        <f t="shared" si="0"/>
        <v>2.9434002555818888E-2</v>
      </c>
      <c r="G60" s="86">
        <f t="shared" si="1"/>
        <v>3.4144000000000015E-2</v>
      </c>
      <c r="H60" s="87"/>
      <c r="I60" s="84"/>
      <c r="J60" s="84"/>
      <c r="K60" s="84"/>
      <c r="L60" s="84"/>
      <c r="M60" s="84"/>
      <c r="N60" s="84"/>
      <c r="O60" s="84"/>
    </row>
    <row r="61" spans="1:15" x14ac:dyDescent="0.35">
      <c r="A61" s="82">
        <v>74</v>
      </c>
      <c r="B61" s="85">
        <f>7003.5216</f>
        <v>7003.5216</v>
      </c>
      <c r="C61" s="85">
        <f>7108.1052</f>
        <v>7108.1052</v>
      </c>
      <c r="D61" s="85">
        <v>7150.2400660358708</v>
      </c>
      <c r="E61" s="86">
        <f t="shared" si="0"/>
        <v>2.4750005768526498E-2</v>
      </c>
      <c r="F61" s="86">
        <f t="shared" si="0"/>
        <v>3.2208004618110513E-2</v>
      </c>
      <c r="G61" s="86">
        <f t="shared" si="1"/>
        <v>3.7911000000000035E-2</v>
      </c>
      <c r="H61" s="87"/>
      <c r="I61" s="84"/>
      <c r="J61" s="84"/>
      <c r="K61" s="84"/>
      <c r="L61" s="84"/>
      <c r="M61" s="84"/>
      <c r="N61" s="84"/>
      <c r="O61" s="84"/>
    </row>
    <row r="62" spans="1:15" x14ac:dyDescent="0.35">
      <c r="A62" s="82">
        <v>75</v>
      </c>
      <c r="B62" s="85">
        <f>6716.8231</f>
        <v>6716.8230999999996</v>
      </c>
      <c r="C62" s="85">
        <f>6830.1844</f>
        <v>6830.1844000000001</v>
      </c>
      <c r="D62" s="85">
        <v>6879.1673148923846</v>
      </c>
      <c r="E62" s="86">
        <f t="shared" si="0"/>
        <v>2.7293007016963099E-2</v>
      </c>
      <c r="F62" s="86">
        <f t="shared" si="0"/>
        <v>3.5175998180895438E-2</v>
      </c>
      <c r="G62" s="86">
        <f t="shared" si="1"/>
        <v>4.2045999999999965E-2</v>
      </c>
      <c r="H62" s="87"/>
      <c r="I62" s="84"/>
      <c r="J62" s="84"/>
      <c r="K62" s="84"/>
      <c r="L62" s="84"/>
      <c r="M62" s="84"/>
      <c r="N62" s="84"/>
      <c r="O62" s="84"/>
    </row>
    <row r="63" spans="1:15" x14ac:dyDescent="0.35">
      <c r="A63" s="82">
        <v>76</v>
      </c>
      <c r="B63" s="85">
        <f>6411.3459</f>
        <v>6411.3459000000003</v>
      </c>
      <c r="C63" s="85">
        <f>6533.5008</f>
        <v>6533.5007999999998</v>
      </c>
      <c r="D63" s="85">
        <v>6589.9258459704197</v>
      </c>
      <c r="E63" s="86">
        <f t="shared" si="0"/>
        <v>3.0067009798987826E-2</v>
      </c>
      <c r="F63" s="86">
        <f t="shared" si="0"/>
        <v>3.83439947054404E-2</v>
      </c>
      <c r="G63" s="86">
        <f t="shared" si="1"/>
        <v>4.6578000000000043E-2</v>
      </c>
      <c r="H63" s="87"/>
      <c r="I63" s="84"/>
      <c r="J63" s="84"/>
      <c r="K63" s="84"/>
      <c r="L63" s="84"/>
      <c r="M63" s="84"/>
      <c r="N63" s="84"/>
      <c r="O63" s="84"/>
    </row>
    <row r="64" spans="1:15" x14ac:dyDescent="0.35">
      <c r="A64" s="82">
        <v>77</v>
      </c>
      <c r="B64" s="85">
        <f>6087.8084</f>
        <v>6087.8083999999999</v>
      </c>
      <c r="C64" s="85">
        <f>6218.5759</f>
        <v>6218.5758999999998</v>
      </c>
      <c r="D64" s="85">
        <v>6282.9802799168092</v>
      </c>
      <c r="E64" s="86">
        <f t="shared" si="0"/>
        <v>3.3090003292482073E-2</v>
      </c>
      <c r="F64" s="86">
        <f t="shared" si="0"/>
        <v>4.1714994223925599E-2</v>
      </c>
      <c r="G64" s="86">
        <f t="shared" si="1"/>
        <v>5.1537999999999966E-2</v>
      </c>
      <c r="H64" s="87"/>
      <c r="I64" s="84"/>
      <c r="J64" s="84"/>
      <c r="K64" s="84"/>
      <c r="L64" s="84"/>
      <c r="M64" s="84"/>
      <c r="N64" s="84"/>
      <c r="O64" s="84"/>
    </row>
    <row r="65" spans="1:15" x14ac:dyDescent="0.35">
      <c r="A65" s="82">
        <v>78</v>
      </c>
      <c r="B65" s="85">
        <f>5747.3624</f>
        <v>5747.3624</v>
      </c>
      <c r="C65" s="85">
        <f>5886.3628</f>
        <v>5886.3627999999999</v>
      </c>
      <c r="D65" s="85">
        <v>5959.1680422504569</v>
      </c>
      <c r="E65" s="86">
        <f t="shared" si="0"/>
        <v>3.6379000565546424E-2</v>
      </c>
      <c r="F65" s="86">
        <f t="shared" si="0"/>
        <v>4.5291998101775137E-2</v>
      </c>
      <c r="G65" s="86">
        <f t="shared" si="1"/>
        <v>5.6955999999999958E-2</v>
      </c>
      <c r="H65" s="87"/>
      <c r="I65" s="84"/>
      <c r="J65" s="84"/>
      <c r="K65" s="84"/>
      <c r="L65" s="84"/>
      <c r="M65" s="84"/>
      <c r="N65" s="84"/>
      <c r="O65" s="84"/>
    </row>
    <row r="66" spans="1:15" x14ac:dyDescent="0.35">
      <c r="A66" s="82">
        <v>79</v>
      </c>
      <c r="B66" s="85">
        <f>5391.64</f>
        <v>5391.64</v>
      </c>
      <c r="C66" s="85">
        <f>5538.2791</f>
        <v>5538.2790999999997</v>
      </c>
      <c r="D66" s="85">
        <v>5619.7576672360401</v>
      </c>
      <c r="E66" s="86">
        <f t="shared" si="0"/>
        <v>3.99540028636928E-2</v>
      </c>
      <c r="F66" s="86">
        <f t="shared" si="0"/>
        <v>4.9079999964264688E-2</v>
      </c>
      <c r="G66" s="86">
        <f t="shared" si="1"/>
        <v>6.2867000000000006E-2</v>
      </c>
      <c r="H66" s="87"/>
      <c r="I66" s="84"/>
      <c r="J66" s="84"/>
      <c r="K66" s="84"/>
      <c r="L66" s="84"/>
      <c r="M66" s="84"/>
      <c r="N66" s="84"/>
      <c r="O66" s="84"/>
    </row>
    <row r="67" spans="1:15" x14ac:dyDescent="0.35">
      <c r="A67" s="82">
        <v>80</v>
      </c>
      <c r="B67" s="85">
        <f>5022.7931</f>
        <v>5022.7930999999999</v>
      </c>
      <c r="C67" s="85">
        <f>5176.2224</f>
        <v>5176.2223999999997</v>
      </c>
      <c r="D67" s="85">
        <v>5266.4603619699119</v>
      </c>
      <c r="E67" s="86">
        <f t="shared" si="0"/>
        <v>4.3833002000420833E-2</v>
      </c>
      <c r="F67" s="86">
        <f t="shared" si="0"/>
        <v>5.3078001535577117E-2</v>
      </c>
      <c r="G67" s="86">
        <f t="shared" si="1"/>
        <v>6.9303000000000017E-2</v>
      </c>
      <c r="H67" s="87"/>
      <c r="I67" s="84"/>
      <c r="J67" s="84"/>
      <c r="K67" s="84"/>
      <c r="L67" s="84"/>
      <c r="M67" s="84"/>
      <c r="N67" s="84"/>
      <c r="O67" s="84"/>
    </row>
    <row r="68" spans="1:15" x14ac:dyDescent="0.35">
      <c r="A68" s="82">
        <v>81</v>
      </c>
      <c r="B68" s="85">
        <f>4643.5129</f>
        <v>4643.5128999999997</v>
      </c>
      <c r="C68" s="85">
        <f>4802.629</f>
        <v>4802.6289999999999</v>
      </c>
      <c r="D68" s="85">
        <v>4901.478859504311</v>
      </c>
      <c r="E68" s="86">
        <f t="shared" si="0"/>
        <v>4.8036993716545809E-2</v>
      </c>
      <c r="F68" s="86">
        <f t="shared" si="0"/>
        <v>5.7287993196198969E-2</v>
      </c>
      <c r="G68" s="86">
        <f t="shared" si="1"/>
        <v>7.6300000000000007E-2</v>
      </c>
      <c r="H68" s="87"/>
      <c r="I68" s="84"/>
      <c r="J68" s="84"/>
      <c r="K68" s="84"/>
      <c r="L68" s="84"/>
      <c r="M68" s="84"/>
      <c r="N68" s="84"/>
      <c r="O68" s="84"/>
    </row>
    <row r="69" spans="1:15" x14ac:dyDescent="0.35">
      <c r="A69" s="82">
        <v>82</v>
      </c>
      <c r="B69" s="85">
        <f>4257.0056</f>
        <v>4257.0056000000004</v>
      </c>
      <c r="C69" s="85">
        <f>4420.4525</f>
        <v>4420.4525000000003</v>
      </c>
      <c r="D69" s="85">
        <v>4527.4960225241321</v>
      </c>
      <c r="E69" s="86">
        <f t="shared" ref="E69:F78" si="2">(B69-C70)/B69</f>
        <v>5.2586000826496587E-2</v>
      </c>
      <c r="F69" s="86">
        <f t="shared" si="2"/>
        <v>6.1708999540993965E-2</v>
      </c>
      <c r="G69" s="86">
        <f t="shared" ref="G69:G106" si="3">(D69-D70)/D69</f>
        <v>8.3893000000000079E-2</v>
      </c>
      <c r="H69" s="87"/>
      <c r="I69" s="84"/>
      <c r="J69" s="84"/>
      <c r="K69" s="84"/>
      <c r="L69" s="84"/>
      <c r="M69" s="84"/>
      <c r="N69" s="84"/>
      <c r="O69" s="84"/>
    </row>
    <row r="70" spans="1:15" x14ac:dyDescent="0.35">
      <c r="A70" s="82">
        <v>83</v>
      </c>
      <c r="B70" s="85">
        <f>3866.9884</f>
        <v>3866.9884000000002</v>
      </c>
      <c r="C70" s="85">
        <f>4033.1467</f>
        <v>4033.1466999999998</v>
      </c>
      <c r="D70" s="85">
        <v>4147.6707987065147</v>
      </c>
      <c r="E70" s="86">
        <f t="shared" si="2"/>
        <v>5.7501000002999764E-2</v>
      </c>
      <c r="F70" s="86">
        <f t="shared" si="2"/>
        <v>6.6337009823603243E-2</v>
      </c>
      <c r="G70" s="86">
        <f t="shared" si="3"/>
        <v>9.2116999999999977E-2</v>
      </c>
      <c r="H70" s="87"/>
      <c r="I70" s="84"/>
      <c r="J70" s="84"/>
      <c r="K70" s="84"/>
      <c r="L70" s="84"/>
      <c r="M70" s="84"/>
      <c r="N70" s="84"/>
      <c r="O70" s="84"/>
    </row>
    <row r="71" spans="1:15" x14ac:dyDescent="0.35">
      <c r="A71" s="82">
        <v>84</v>
      </c>
      <c r="B71" s="85">
        <f>3477.5929</f>
        <v>3477.5929000000001</v>
      </c>
      <c r="C71" s="85">
        <f>3644.6327</f>
        <v>3644.6327000000001</v>
      </c>
      <c r="D71" s="85">
        <v>3765.5998077420668</v>
      </c>
      <c r="E71" s="86">
        <f t="shared" si="2"/>
        <v>6.2803987206208056E-2</v>
      </c>
      <c r="F71" s="86">
        <f t="shared" si="2"/>
        <v>7.116899105869734E-2</v>
      </c>
      <c r="G71" s="86">
        <f t="shared" si="3"/>
        <v>0.10100699999999992</v>
      </c>
      <c r="H71" s="87"/>
      <c r="I71" s="84"/>
      <c r="J71" s="84"/>
      <c r="K71" s="84"/>
      <c r="L71" s="84"/>
      <c r="M71" s="84"/>
      <c r="N71" s="84"/>
      <c r="O71" s="84"/>
    </row>
    <row r="72" spans="1:15" x14ac:dyDescent="0.35">
      <c r="A72" s="82">
        <v>85</v>
      </c>
      <c r="B72" s="85">
        <f>3093.2863</f>
        <v>3093.2863000000002</v>
      </c>
      <c r="C72" s="85">
        <f>3259.1862</f>
        <v>3259.1862000000001</v>
      </c>
      <c r="D72" s="85">
        <v>3385.2478679614642</v>
      </c>
      <c r="E72" s="86">
        <f t="shared" si="2"/>
        <v>6.8515998664591807E-2</v>
      </c>
      <c r="F72" s="86">
        <f t="shared" si="2"/>
        <v>7.6199005210280432E-2</v>
      </c>
      <c r="G72" s="86">
        <f t="shared" si="3"/>
        <v>0.11060000000000006</v>
      </c>
      <c r="H72" s="87"/>
      <c r="I72" s="84"/>
      <c r="J72" s="84"/>
      <c r="K72" s="84"/>
      <c r="L72" s="84"/>
      <c r="M72" s="84"/>
      <c r="N72" s="84"/>
      <c r="O72" s="84"/>
    </row>
    <row r="73" spans="1:15" x14ac:dyDescent="0.35">
      <c r="A73" s="82">
        <v>86</v>
      </c>
      <c r="B73" s="85">
        <f>2718.7128</f>
        <v>2718.7127999999998</v>
      </c>
      <c r="C73" s="85">
        <f>2881.3467</f>
        <v>2881.3467000000001</v>
      </c>
      <c r="D73" s="85">
        <v>3010.839453764926</v>
      </c>
      <c r="E73" s="86">
        <f t="shared" si="2"/>
        <v>7.4660993982151994E-2</v>
      </c>
      <c r="F73" s="86">
        <f t="shared" si="2"/>
        <v>8.1422013719977815E-2</v>
      </c>
      <c r="G73" s="86">
        <f t="shared" si="3"/>
        <v>0.12092900000000001</v>
      </c>
      <c r="H73" s="87"/>
      <c r="I73" s="84"/>
      <c r="J73" s="84"/>
      <c r="K73" s="84"/>
      <c r="L73" s="84"/>
      <c r="M73" s="84"/>
      <c r="N73" s="84"/>
      <c r="O73" s="84"/>
    </row>
    <row r="74" spans="1:15" x14ac:dyDescent="0.35">
      <c r="A74" s="82">
        <v>87</v>
      </c>
      <c r="B74" s="85">
        <f>2358.5299</f>
        <v>2358.5299</v>
      </c>
      <c r="C74" s="85">
        <f>2515.731</f>
        <v>2515.7310000000002</v>
      </c>
      <c r="D74" s="85">
        <v>2646.7416494605873</v>
      </c>
      <c r="E74" s="86">
        <f t="shared" si="2"/>
        <v>8.125799041173902E-2</v>
      </c>
      <c r="F74" s="86">
        <f t="shared" si="2"/>
        <v>8.6826992645237341E-2</v>
      </c>
      <c r="G74" s="86">
        <f t="shared" si="3"/>
        <v>0.13202800000000009</v>
      </c>
      <c r="H74" s="87"/>
      <c r="I74" s="84"/>
      <c r="J74" s="84"/>
      <c r="K74" s="84"/>
      <c r="L74" s="84"/>
      <c r="M74" s="84"/>
      <c r="N74" s="84"/>
      <c r="O74" s="84"/>
    </row>
    <row r="75" spans="1:15" x14ac:dyDescent="0.35">
      <c r="A75" s="82">
        <v>88</v>
      </c>
      <c r="B75" s="85">
        <f>2017.2298</f>
        <v>2017.2298000000001</v>
      </c>
      <c r="C75" s="85">
        <f>2166.8805</f>
        <v>2166.8805000000002</v>
      </c>
      <c r="D75" s="85">
        <v>2297.2976429656046</v>
      </c>
      <c r="E75" s="86">
        <f t="shared" si="2"/>
        <v>8.8331036949781311E-2</v>
      </c>
      <c r="F75" s="86">
        <f t="shared" si="2"/>
        <v>9.2405007792904115E-2</v>
      </c>
      <c r="G75" s="86">
        <f t="shared" si="3"/>
        <v>0.14392899999999995</v>
      </c>
      <c r="H75" s="87"/>
      <c r="I75" s="84"/>
      <c r="J75" s="84"/>
      <c r="K75" s="84"/>
      <c r="L75" s="84"/>
      <c r="M75" s="84"/>
      <c r="N75" s="84"/>
      <c r="O75" s="84"/>
    </row>
    <row r="76" spans="1:15" x14ac:dyDescent="0.35">
      <c r="A76" s="82">
        <v>89</v>
      </c>
      <c r="B76" s="85">
        <f>1698.9089</f>
        <v>1698.9088999999999</v>
      </c>
      <c r="C76" s="85">
        <f>1839.0458</f>
        <v>1839.0458000000001</v>
      </c>
      <c r="D76" s="85">
        <v>1966.6498905112082</v>
      </c>
      <c r="E76" s="86">
        <f t="shared" si="2"/>
        <v>9.5902022762962696E-2</v>
      </c>
      <c r="F76" s="86">
        <f t="shared" si="2"/>
        <v>9.8143983872657103E-2</v>
      </c>
      <c r="G76" s="86">
        <f t="shared" si="3"/>
        <v>0.15666000000000002</v>
      </c>
      <c r="H76" s="87"/>
      <c r="I76" s="84"/>
      <c r="J76" s="84"/>
      <c r="K76" s="84"/>
      <c r="L76" s="84"/>
      <c r="M76" s="84"/>
      <c r="N76" s="84"/>
      <c r="O76" s="84"/>
    </row>
    <row r="77" spans="1:15" x14ac:dyDescent="0.35">
      <c r="A77" s="82">
        <v>90</v>
      </c>
      <c r="B77" s="85">
        <f>1407.055</f>
        <v>1407.0550000000001</v>
      </c>
      <c r="C77" s="85">
        <f>1535.9801</f>
        <v>1535.9801</v>
      </c>
      <c r="D77" s="85">
        <v>1658.5545186637223</v>
      </c>
      <c r="E77" s="86">
        <f t="shared" si="2"/>
        <v>0.10398996485567374</v>
      </c>
      <c r="F77" s="86">
        <f t="shared" si="2"/>
        <v>0.10403097831490159</v>
      </c>
      <c r="G77" s="86">
        <f t="shared" si="3"/>
        <v>0.17024699999999998</v>
      </c>
      <c r="H77" s="87"/>
      <c r="I77" s="84"/>
      <c r="J77" s="84"/>
      <c r="K77" s="84"/>
      <c r="L77" s="84"/>
      <c r="M77" s="84"/>
      <c r="N77" s="84"/>
      <c r="O77" s="84"/>
    </row>
    <row r="78" spans="1:15" x14ac:dyDescent="0.35">
      <c r="A78" s="82">
        <v>91</v>
      </c>
      <c r="B78" s="85"/>
      <c r="C78" s="85">
        <f>1260.7354</f>
        <v>1260.7354</v>
      </c>
      <c r="D78" s="85">
        <v>1376.1905875247796</v>
      </c>
      <c r="E78" s="86"/>
      <c r="F78" s="86">
        <f t="shared" si="2"/>
        <v>0.11005202254118707</v>
      </c>
      <c r="G78" s="86">
        <f t="shared" si="3"/>
        <v>0.18471399999999996</v>
      </c>
      <c r="H78" s="87"/>
      <c r="I78" s="84"/>
      <c r="J78" s="84"/>
      <c r="K78" s="84"/>
      <c r="L78" s="84"/>
      <c r="M78" s="84"/>
      <c r="N78" s="84"/>
      <c r="O78" s="84"/>
    </row>
    <row r="79" spans="1:15" x14ac:dyDescent="0.35">
      <c r="A79" s="82">
        <v>92</v>
      </c>
      <c r="B79" s="85"/>
      <c r="C79" s="85"/>
      <c r="D79" s="85">
        <v>1121.9889193407275</v>
      </c>
      <c r="E79" s="86"/>
      <c r="F79" s="86"/>
      <c r="G79" s="86">
        <f t="shared" si="3"/>
        <v>0.20007900000000001</v>
      </c>
      <c r="H79" s="87"/>
      <c r="I79" s="84"/>
      <c r="J79" s="84"/>
      <c r="K79" s="84"/>
      <c r="L79" s="84"/>
      <c r="M79" s="84"/>
      <c r="N79" s="84"/>
      <c r="O79" s="84"/>
    </row>
    <row r="80" spans="1:15" x14ac:dyDescent="0.35">
      <c r="A80" s="82">
        <v>93</v>
      </c>
      <c r="B80" s="85"/>
      <c r="C80" s="85"/>
      <c r="D80" s="85">
        <v>897.50249834795409</v>
      </c>
      <c r="E80" s="86"/>
      <c r="F80" s="86"/>
      <c r="G80" s="86">
        <f t="shared" si="3"/>
        <v>0.21635399999999999</v>
      </c>
      <c r="H80" s="87"/>
      <c r="I80" s="84"/>
      <c r="J80" s="84"/>
      <c r="K80" s="84"/>
      <c r="L80" s="84"/>
      <c r="M80" s="84"/>
      <c r="N80" s="84"/>
      <c r="O80" s="84"/>
    </row>
    <row r="81" spans="1:15" x14ac:dyDescent="0.35">
      <c r="A81" s="82">
        <v>94</v>
      </c>
      <c r="B81" s="85"/>
      <c r="C81" s="85"/>
      <c r="D81" s="85">
        <v>703.32424282038085</v>
      </c>
      <c r="E81" s="86"/>
      <c r="F81" s="86"/>
      <c r="G81" s="86">
        <f t="shared" si="3"/>
        <v>0.23354800000000003</v>
      </c>
      <c r="H81" s="87"/>
      <c r="I81" s="84"/>
      <c r="J81" s="84"/>
      <c r="K81" s="84"/>
      <c r="L81" s="84"/>
      <c r="M81" s="84"/>
      <c r="N81" s="84"/>
      <c r="O81" s="84"/>
    </row>
    <row r="82" spans="1:15" x14ac:dyDescent="0.35">
      <c r="A82" s="82">
        <v>95</v>
      </c>
      <c r="B82" s="85"/>
      <c r="C82" s="85"/>
      <c r="D82" s="85">
        <v>539.06427255816652</v>
      </c>
      <c r="E82" s="86"/>
      <c r="F82" s="86"/>
      <c r="G82" s="86">
        <f t="shared" si="3"/>
        <v>0.25166200000000005</v>
      </c>
      <c r="H82" s="87"/>
      <c r="I82" s="84"/>
      <c r="J82" s="84"/>
      <c r="K82" s="84"/>
      <c r="L82" s="84"/>
      <c r="M82" s="84"/>
      <c r="N82" s="84"/>
      <c r="O82" s="84"/>
    </row>
    <row r="83" spans="1:15" x14ac:dyDescent="0.35">
      <c r="A83" s="82">
        <v>96</v>
      </c>
      <c r="B83" s="85"/>
      <c r="C83" s="85"/>
      <c r="D83" s="85">
        <v>403.4022795976332</v>
      </c>
      <c r="E83" s="86"/>
      <c r="F83" s="86"/>
      <c r="G83" s="86">
        <f t="shared" si="3"/>
        <v>0.27068800000000004</v>
      </c>
      <c r="H83" s="87"/>
      <c r="I83" s="84"/>
      <c r="J83" s="84"/>
      <c r="K83" s="84"/>
      <c r="L83" s="84"/>
      <c r="M83" s="84"/>
      <c r="N83" s="84"/>
      <c r="O83" s="84"/>
    </row>
    <row r="84" spans="1:15" x14ac:dyDescent="0.35">
      <c r="A84" s="82">
        <v>97</v>
      </c>
      <c r="B84" s="85"/>
      <c r="C84" s="85"/>
      <c r="D84" s="85">
        <v>294.20612333790905</v>
      </c>
      <c r="E84" s="86"/>
      <c r="F84" s="86"/>
      <c r="G84" s="86">
        <f t="shared" si="3"/>
        <v>0.29061299999999995</v>
      </c>
      <c r="H84" s="87"/>
      <c r="I84" s="84"/>
      <c r="J84" s="84"/>
      <c r="K84" s="84"/>
      <c r="L84" s="84"/>
      <c r="M84" s="84"/>
      <c r="N84" s="84"/>
      <c r="O84" s="84"/>
    </row>
    <row r="85" spans="1:15" x14ac:dyDescent="0.35">
      <c r="A85" s="82">
        <v>98</v>
      </c>
      <c r="B85" s="85"/>
      <c r="C85" s="85"/>
      <c r="D85" s="85">
        <v>208.70599921630929</v>
      </c>
      <c r="E85" s="86"/>
      <c r="F85" s="86"/>
      <c r="G85" s="86">
        <f t="shared" si="3"/>
        <v>0.31141400000000008</v>
      </c>
      <c r="H85" s="87"/>
      <c r="I85" s="84"/>
      <c r="J85" s="84"/>
      <c r="K85" s="84"/>
      <c r="L85" s="84"/>
      <c r="M85" s="84"/>
      <c r="N85" s="84"/>
      <c r="O85" s="84"/>
    </row>
    <row r="86" spans="1:15" x14ac:dyDescent="0.35">
      <c r="A86" s="82">
        <v>99</v>
      </c>
      <c r="B86" s="85"/>
      <c r="C86" s="85"/>
      <c r="D86" s="85">
        <v>143.71202917636154</v>
      </c>
      <c r="E86" s="86"/>
      <c r="F86" s="86"/>
      <c r="G86" s="86">
        <f t="shared" si="3"/>
        <v>0.33305800000000008</v>
      </c>
      <c r="H86" s="87"/>
      <c r="I86" s="84"/>
      <c r="J86" s="84"/>
      <c r="K86" s="84"/>
      <c r="L86" s="84"/>
      <c r="M86" s="84"/>
      <c r="N86" s="84"/>
      <c r="O86" s="84"/>
    </row>
    <row r="87" spans="1:15" x14ac:dyDescent="0.35">
      <c r="A87" s="82">
        <v>100</v>
      </c>
      <c r="B87" s="85"/>
      <c r="C87" s="85"/>
      <c r="D87" s="85">
        <v>95.847588162940909</v>
      </c>
      <c r="E87" s="86"/>
      <c r="F87" s="86"/>
      <c r="G87" s="86">
        <f t="shared" si="3"/>
        <v>0.35550499999999996</v>
      </c>
      <c r="H87" s="87"/>
      <c r="I87" s="84"/>
      <c r="J87" s="84"/>
      <c r="K87" s="84"/>
      <c r="L87" s="84"/>
      <c r="M87" s="84"/>
      <c r="N87" s="84"/>
      <c r="O87" s="84"/>
    </row>
    <row r="88" spans="1:15" x14ac:dyDescent="0.35">
      <c r="A88" s="82">
        <v>101</v>
      </c>
      <c r="B88" s="85"/>
      <c r="C88" s="85"/>
      <c r="D88" s="85">
        <v>61.773291333074603</v>
      </c>
      <c r="E88" s="86"/>
      <c r="F88" s="86"/>
      <c r="G88" s="86">
        <f t="shared" si="3"/>
        <v>0.37870200000000004</v>
      </c>
      <c r="H88" s="87"/>
      <c r="I88" s="84"/>
      <c r="J88" s="84"/>
      <c r="K88" s="84"/>
      <c r="L88" s="84"/>
      <c r="M88" s="84"/>
      <c r="N88" s="84"/>
      <c r="O88" s="84"/>
    </row>
    <row r="89" spans="1:15" x14ac:dyDescent="0.35">
      <c r="A89" s="82">
        <v>102</v>
      </c>
      <c r="B89" s="85"/>
      <c r="C89" s="85"/>
      <c r="D89" s="85">
        <v>38.379622358656583</v>
      </c>
      <c r="E89" s="86"/>
      <c r="F89" s="86"/>
      <c r="G89" s="86">
        <f t="shared" si="3"/>
        <v>0.40258799999999989</v>
      </c>
      <c r="H89" s="87"/>
      <c r="I89" s="84"/>
      <c r="J89" s="84"/>
      <c r="K89" s="84"/>
      <c r="L89" s="84"/>
      <c r="M89" s="84"/>
      <c r="N89" s="84"/>
      <c r="O89" s="84"/>
    </row>
    <row r="90" spans="1:15" x14ac:dyDescent="0.35">
      <c r="A90" s="82">
        <v>103</v>
      </c>
      <c r="B90" s="85"/>
      <c r="C90" s="85"/>
      <c r="D90" s="85">
        <v>22.92844695252975</v>
      </c>
      <c r="E90" s="86"/>
      <c r="F90" s="86"/>
      <c r="G90" s="86">
        <f t="shared" si="3"/>
        <v>0.42708999999999997</v>
      </c>
      <c r="H90" s="87"/>
      <c r="I90" s="84"/>
      <c r="J90" s="84"/>
      <c r="K90" s="84"/>
      <c r="L90" s="84"/>
      <c r="M90" s="84"/>
      <c r="N90" s="84"/>
      <c r="O90" s="84"/>
    </row>
    <row r="91" spans="1:15" x14ac:dyDescent="0.35">
      <c r="A91" s="82">
        <v>104</v>
      </c>
      <c r="B91" s="85"/>
      <c r="C91" s="85"/>
      <c r="D91" s="85">
        <v>13.13593654357382</v>
      </c>
      <c r="E91" s="86"/>
      <c r="F91" s="86"/>
      <c r="G91" s="86">
        <f t="shared" si="3"/>
        <v>0.45212699999999995</v>
      </c>
      <c r="H91" s="87"/>
      <c r="I91" s="84"/>
      <c r="J91" s="84"/>
      <c r="K91" s="84"/>
      <c r="L91" s="84"/>
      <c r="M91" s="84"/>
      <c r="N91" s="84"/>
      <c r="O91" s="84"/>
    </row>
    <row r="92" spans="1:15" x14ac:dyDescent="0.35">
      <c r="A92" s="82">
        <v>105</v>
      </c>
      <c r="B92" s="85"/>
      <c r="C92" s="85"/>
      <c r="D92" s="85">
        <v>7.1968249619374198</v>
      </c>
      <c r="E92" s="86"/>
      <c r="F92" s="86"/>
      <c r="G92" s="86">
        <f t="shared" si="3"/>
        <v>0.47760800000000003</v>
      </c>
      <c r="H92" s="87"/>
      <c r="I92" s="84"/>
      <c r="J92" s="84"/>
      <c r="K92" s="84"/>
      <c r="L92" s="84"/>
      <c r="M92" s="84"/>
      <c r="N92" s="84"/>
      <c r="O92" s="84"/>
    </row>
    <row r="93" spans="1:15" x14ac:dyDescent="0.35">
      <c r="A93" s="82">
        <v>106</v>
      </c>
      <c r="B93" s="85"/>
      <c r="C93" s="85"/>
      <c r="D93" s="85">
        <v>3.7595637855164123</v>
      </c>
      <c r="E93" s="86"/>
      <c r="F93" s="86"/>
      <c r="G93" s="86">
        <f t="shared" si="3"/>
        <v>0.50343199999999999</v>
      </c>
      <c r="H93" s="87"/>
      <c r="I93" s="84"/>
      <c r="J93" s="84"/>
      <c r="K93" s="84"/>
      <c r="L93" s="84"/>
      <c r="M93" s="84"/>
      <c r="N93" s="84"/>
      <c r="O93" s="84"/>
    </row>
    <row r="94" spans="1:15" x14ac:dyDescent="0.35">
      <c r="A94" s="82">
        <v>107</v>
      </c>
      <c r="B94" s="85"/>
      <c r="C94" s="85"/>
      <c r="D94" s="85">
        <v>1.8668790698463138</v>
      </c>
      <c r="E94" s="86"/>
      <c r="F94" s="86"/>
      <c r="G94" s="86">
        <f t="shared" si="3"/>
        <v>0.52949299999999999</v>
      </c>
      <c r="H94" s="87"/>
      <c r="I94" s="84"/>
      <c r="J94" s="84"/>
      <c r="K94" s="84"/>
      <c r="L94" s="84"/>
      <c r="M94" s="84"/>
      <c r="N94" s="84"/>
      <c r="O94" s="84"/>
    </row>
    <row r="95" spans="1:15" x14ac:dyDescent="0.35">
      <c r="A95" s="82">
        <v>108</v>
      </c>
      <c r="B95" s="85"/>
      <c r="C95" s="85"/>
      <c r="D95" s="85">
        <v>0.8783796705161796</v>
      </c>
      <c r="E95" s="86"/>
      <c r="F95" s="86"/>
      <c r="G95" s="86">
        <f t="shared" si="3"/>
        <v>0.555674</v>
      </c>
      <c r="H95" s="87"/>
      <c r="I95" s="84"/>
      <c r="J95" s="84"/>
      <c r="K95" s="84"/>
      <c r="L95" s="84"/>
      <c r="M95" s="84"/>
      <c r="N95" s="84"/>
      <c r="O95" s="84"/>
    </row>
    <row r="96" spans="1:15" x14ac:dyDescent="0.35">
      <c r="A96" s="82">
        <v>109</v>
      </c>
      <c r="B96" s="85"/>
      <c r="C96" s="85"/>
      <c r="D96" s="85">
        <v>0.39028692548177202</v>
      </c>
      <c r="E96" s="86"/>
      <c r="F96" s="86"/>
      <c r="G96" s="86">
        <f t="shared" si="3"/>
        <v>0.58185699999999996</v>
      </c>
      <c r="H96" s="87"/>
      <c r="I96" s="84"/>
      <c r="J96" s="84"/>
      <c r="K96" s="84"/>
      <c r="L96" s="84"/>
      <c r="M96" s="84"/>
      <c r="N96" s="84"/>
      <c r="O96" s="84"/>
    </row>
    <row r="97" spans="1:15" x14ac:dyDescent="0.35">
      <c r="A97" s="82">
        <v>110</v>
      </c>
      <c r="B97" s="85"/>
      <c r="C97" s="85"/>
      <c r="D97" s="85">
        <v>0.16319574588172461</v>
      </c>
      <c r="E97" s="86"/>
      <c r="F97" s="86"/>
      <c r="G97" s="86">
        <f t="shared" si="3"/>
        <v>0.60791799999999996</v>
      </c>
      <c r="H97" s="87"/>
      <c r="I97" s="84"/>
      <c r="J97" s="84"/>
      <c r="K97" s="84"/>
      <c r="L97" s="84"/>
      <c r="M97" s="84"/>
      <c r="N97" s="84"/>
      <c r="O97" s="84"/>
    </row>
    <row r="98" spans="1:15" x14ac:dyDescent="0.35">
      <c r="A98" s="82">
        <v>111</v>
      </c>
      <c r="B98" s="85"/>
      <c r="C98" s="85"/>
      <c r="D98" s="85">
        <v>6.3986114436798358E-2</v>
      </c>
      <c r="E98" s="86"/>
      <c r="F98" s="86"/>
      <c r="G98" s="86">
        <f t="shared" si="3"/>
        <v>0.63373100000000004</v>
      </c>
      <c r="H98" s="87"/>
      <c r="I98" s="84"/>
      <c r="J98" s="84"/>
      <c r="K98" s="84"/>
      <c r="L98" s="84"/>
      <c r="M98" s="84"/>
      <c r="N98" s="84"/>
      <c r="O98" s="84"/>
    </row>
    <row r="99" spans="1:15" x14ac:dyDescent="0.35">
      <c r="A99" s="82">
        <v>112</v>
      </c>
      <c r="B99" s="85"/>
      <c r="C99" s="85"/>
      <c r="D99" s="85">
        <v>2.3436130148651695E-2</v>
      </c>
      <c r="E99" s="86"/>
      <c r="F99" s="86"/>
      <c r="G99" s="86">
        <f t="shared" si="3"/>
        <v>0.65917099999999995</v>
      </c>
      <c r="H99" s="87"/>
      <c r="I99" s="84"/>
      <c r="J99" s="84"/>
      <c r="K99" s="84"/>
      <c r="L99" s="84"/>
      <c r="M99" s="84"/>
      <c r="N99" s="84"/>
      <c r="O99" s="84"/>
    </row>
    <row r="100" spans="1:15" x14ac:dyDescent="0.35">
      <c r="A100" s="82">
        <v>113</v>
      </c>
      <c r="B100" s="85"/>
      <c r="C100" s="85"/>
      <c r="D100" s="85">
        <v>7.9877128024348088E-3</v>
      </c>
      <c r="E100" s="86"/>
      <c r="F100" s="86"/>
      <c r="G100" s="86">
        <f t="shared" si="3"/>
        <v>0.684114</v>
      </c>
      <c r="H100" s="87"/>
      <c r="I100" s="84"/>
      <c r="J100" s="84"/>
      <c r="K100" s="84"/>
      <c r="L100" s="84"/>
      <c r="M100" s="84"/>
      <c r="N100" s="84"/>
      <c r="O100" s="84"/>
    </row>
    <row r="101" spans="1:15" x14ac:dyDescent="0.35">
      <c r="A101" s="82">
        <v>114</v>
      </c>
      <c r="B101" s="85"/>
      <c r="C101" s="85"/>
      <c r="D101" s="85">
        <v>2.5232066463099219E-3</v>
      </c>
      <c r="E101" s="86"/>
      <c r="F101" s="86"/>
      <c r="G101" s="86">
        <f t="shared" si="3"/>
        <v>0.70844200000000002</v>
      </c>
      <c r="H101" s="87"/>
      <c r="I101" s="84"/>
      <c r="J101" s="84"/>
      <c r="K101" s="84"/>
      <c r="L101" s="84"/>
      <c r="M101" s="84"/>
      <c r="N101" s="84"/>
      <c r="O101" s="84"/>
    </row>
    <row r="102" spans="1:15" x14ac:dyDescent="0.35">
      <c r="A102" s="82">
        <v>115</v>
      </c>
      <c r="B102" s="85"/>
      <c r="C102" s="85"/>
      <c r="D102" s="85">
        <v>7.3566108338482821E-4</v>
      </c>
      <c r="E102" s="86"/>
      <c r="F102" s="86"/>
      <c r="G102" s="86">
        <f t="shared" si="3"/>
        <v>0.73204199999999997</v>
      </c>
      <c r="H102" s="87"/>
      <c r="I102" s="84"/>
      <c r="J102" s="84"/>
      <c r="K102" s="84"/>
      <c r="L102" s="84"/>
      <c r="M102" s="84"/>
      <c r="N102" s="84"/>
      <c r="O102" s="84"/>
    </row>
    <row r="103" spans="1:15" x14ac:dyDescent="0.35">
      <c r="A103" s="82">
        <v>116</v>
      </c>
      <c r="B103" s="85"/>
      <c r="C103" s="85"/>
      <c r="D103" s="85">
        <v>1.9712627258163182E-4</v>
      </c>
      <c r="E103" s="86"/>
      <c r="F103" s="86"/>
      <c r="G103" s="86">
        <f t="shared" si="3"/>
        <v>0.75480899999999995</v>
      </c>
      <c r="H103" s="87"/>
      <c r="I103" s="84"/>
      <c r="J103" s="84"/>
      <c r="K103" s="84"/>
      <c r="L103" s="84"/>
      <c r="M103" s="84"/>
      <c r="N103" s="84"/>
      <c r="O103" s="84"/>
    </row>
    <row r="104" spans="1:15" x14ac:dyDescent="0.35">
      <c r="A104" s="82">
        <v>117</v>
      </c>
      <c r="B104" s="85"/>
      <c r="C104" s="85"/>
      <c r="D104" s="85">
        <v>4.8333587900562901E-5</v>
      </c>
      <c r="E104" s="86"/>
      <c r="F104" s="86"/>
      <c r="G104" s="86">
        <f t="shared" si="3"/>
        <v>0.77664800000000001</v>
      </c>
      <c r="H104" s="87"/>
      <c r="I104" s="84"/>
      <c r="J104" s="84"/>
      <c r="K104" s="84"/>
      <c r="L104" s="84"/>
      <c r="M104" s="84"/>
      <c r="N104" s="84"/>
      <c r="O104" s="84"/>
    </row>
    <row r="105" spans="1:15" x14ac:dyDescent="0.35">
      <c r="A105" s="82">
        <v>118</v>
      </c>
      <c r="B105" s="85"/>
      <c r="C105" s="85"/>
      <c r="D105" s="85">
        <v>1.0795403524766525E-5</v>
      </c>
      <c r="E105" s="86"/>
      <c r="F105" s="86"/>
      <c r="G105" s="86">
        <f t="shared" si="3"/>
        <v>0.79747699999999999</v>
      </c>
      <c r="H105" s="87"/>
      <c r="I105" s="84"/>
      <c r="J105" s="84"/>
      <c r="K105" s="84"/>
      <c r="L105" s="84"/>
      <c r="M105" s="84"/>
      <c r="N105" s="84"/>
      <c r="O105" s="84"/>
    </row>
    <row r="106" spans="1:15" x14ac:dyDescent="0.35">
      <c r="A106" s="82">
        <v>119</v>
      </c>
      <c r="B106" s="85"/>
      <c r="C106" s="85"/>
      <c r="D106" s="85">
        <v>2.1863175080462909E-6</v>
      </c>
      <c r="E106" s="86"/>
      <c r="F106" s="86"/>
      <c r="G106" s="86">
        <f t="shared" si="3"/>
        <v>0.81722500000000009</v>
      </c>
      <c r="H106" s="87"/>
      <c r="I106" s="84"/>
      <c r="J106" s="84"/>
      <c r="K106" s="84"/>
      <c r="L106" s="84"/>
      <c r="M106" s="84"/>
      <c r="N106" s="84"/>
      <c r="O106" s="84"/>
    </row>
    <row r="107" spans="1:15" x14ac:dyDescent="0.35">
      <c r="A107" s="82">
        <v>120</v>
      </c>
      <c r="B107" s="85"/>
      <c r="C107" s="85"/>
      <c r="D107" s="85">
        <v>3.9960418253316085E-7</v>
      </c>
      <c r="E107" s="86"/>
      <c r="F107" s="86"/>
      <c r="G107" s="86">
        <f>(D107-D136)/D107</f>
        <v>1</v>
      </c>
      <c r="H107" s="87"/>
      <c r="I107" s="84"/>
      <c r="J107" s="84"/>
      <c r="K107" s="84"/>
      <c r="L107" s="84"/>
      <c r="M107" s="84"/>
      <c r="N107" s="84"/>
      <c r="O107" s="84"/>
    </row>
    <row r="108" spans="1:15" x14ac:dyDescent="0.35">
      <c r="A108" s="87"/>
      <c r="B108" s="87"/>
      <c r="C108" s="87"/>
      <c r="D108" s="87"/>
      <c r="E108" s="87"/>
      <c r="F108" s="87"/>
      <c r="G108" s="87"/>
      <c r="H108" s="87"/>
      <c r="I108" s="84"/>
      <c r="J108" s="84"/>
      <c r="K108" s="84"/>
      <c r="L108" s="84"/>
      <c r="M108" s="84"/>
      <c r="N108" s="84"/>
      <c r="O108" s="84"/>
    </row>
    <row r="109" spans="1:15" x14ac:dyDescent="0.35">
      <c r="A109" s="84"/>
      <c r="B109" s="84"/>
      <c r="C109" s="84"/>
      <c r="D109" s="84"/>
      <c r="E109" s="84"/>
      <c r="F109" s="84"/>
      <c r="G109" s="84"/>
      <c r="H109" s="84"/>
      <c r="I109" s="84"/>
      <c r="J109" s="84"/>
      <c r="K109" s="84"/>
      <c r="L109" s="84"/>
      <c r="M109" s="84"/>
      <c r="N109" s="84"/>
      <c r="O109" s="84"/>
    </row>
    <row r="110" spans="1:15" x14ac:dyDescent="0.35">
      <c r="A110" s="84"/>
      <c r="B110" s="84"/>
      <c r="C110" s="84"/>
      <c r="D110" s="84"/>
      <c r="E110" s="84"/>
      <c r="F110" s="84"/>
      <c r="G110" s="84"/>
      <c r="H110" s="84"/>
      <c r="I110" s="84"/>
      <c r="J110" s="84"/>
      <c r="K110" s="84"/>
      <c r="L110" s="84"/>
      <c r="M110" s="84"/>
      <c r="N110" s="84"/>
      <c r="O110" s="84"/>
    </row>
    <row r="111" spans="1:15" x14ac:dyDescent="0.35">
      <c r="A111" s="84"/>
      <c r="B111" s="84"/>
      <c r="C111" s="84"/>
      <c r="D111" s="84"/>
      <c r="E111" s="84"/>
      <c r="F111" s="84"/>
      <c r="G111" s="84"/>
      <c r="H111" s="84"/>
      <c r="I111" s="84"/>
      <c r="J111" s="84"/>
      <c r="K111" s="84"/>
      <c r="L111" s="84"/>
      <c r="M111" s="84"/>
      <c r="N111" s="84"/>
      <c r="O111" s="84"/>
    </row>
    <row r="112" spans="1:15" x14ac:dyDescent="0.35">
      <c r="A112" s="84"/>
      <c r="B112" s="84"/>
      <c r="C112" s="84"/>
      <c r="D112" s="84"/>
      <c r="E112" s="84"/>
      <c r="F112" s="84"/>
      <c r="G112" s="84"/>
      <c r="H112" s="84"/>
      <c r="I112" s="84"/>
      <c r="J112" s="84"/>
      <c r="K112" s="84"/>
      <c r="L112" s="84"/>
      <c r="M112" s="84"/>
      <c r="N112" s="84"/>
      <c r="O112" s="84"/>
    </row>
    <row r="113" spans="1:15" x14ac:dyDescent="0.35">
      <c r="A113" s="84"/>
      <c r="B113" s="84"/>
      <c r="C113" s="84"/>
      <c r="D113" s="84"/>
      <c r="E113" s="84"/>
      <c r="F113" s="84"/>
      <c r="G113" s="84"/>
      <c r="H113" s="84"/>
      <c r="I113" s="84"/>
      <c r="J113" s="84"/>
      <c r="K113" s="84"/>
      <c r="L113" s="84"/>
      <c r="M113" s="84"/>
      <c r="N113" s="84"/>
      <c r="O113" s="84"/>
    </row>
    <row r="114" spans="1:15" x14ac:dyDescent="0.35">
      <c r="A114" s="84"/>
      <c r="B114" s="84"/>
      <c r="C114" s="84"/>
      <c r="D114" s="84"/>
      <c r="E114" s="84"/>
      <c r="F114" s="84"/>
      <c r="G114" s="84"/>
      <c r="H114" s="84"/>
      <c r="I114" s="84"/>
      <c r="J114" s="84"/>
      <c r="K114" s="84"/>
      <c r="L114" s="84"/>
      <c r="M114" s="84"/>
      <c r="N114" s="84"/>
      <c r="O114" s="84"/>
    </row>
    <row r="115" spans="1:15" x14ac:dyDescent="0.35">
      <c r="A115" s="84"/>
      <c r="B115" s="84"/>
      <c r="C115" s="84"/>
      <c r="D115" s="84"/>
      <c r="E115" s="84"/>
      <c r="F115" s="84"/>
      <c r="G115" s="84"/>
      <c r="H115" s="84"/>
      <c r="I115" s="84"/>
      <c r="J115" s="84"/>
      <c r="K115" s="84"/>
      <c r="L115" s="84"/>
      <c r="M115" s="84"/>
      <c r="N115" s="84"/>
      <c r="O115" s="84"/>
    </row>
    <row r="116" spans="1:15" x14ac:dyDescent="0.35">
      <c r="A116" s="84"/>
      <c r="B116" s="84"/>
      <c r="C116" s="84"/>
      <c r="D116" s="84"/>
      <c r="E116" s="84"/>
      <c r="F116" s="84"/>
      <c r="G116" s="84"/>
      <c r="H116" s="84"/>
      <c r="I116" s="84"/>
      <c r="J116" s="84"/>
      <c r="K116" s="84"/>
      <c r="L116" s="84"/>
      <c r="M116" s="84"/>
      <c r="N116" s="84"/>
      <c r="O116" s="84"/>
    </row>
    <row r="117" spans="1:15" x14ac:dyDescent="0.35">
      <c r="A117" s="84"/>
      <c r="B117" s="84"/>
      <c r="C117" s="84"/>
      <c r="D117" s="84"/>
      <c r="E117" s="84"/>
      <c r="F117" s="84"/>
      <c r="G117" s="84"/>
      <c r="H117" s="84"/>
      <c r="I117" s="84"/>
      <c r="J117" s="84"/>
      <c r="K117" s="84"/>
      <c r="L117" s="84"/>
      <c r="M117" s="84"/>
      <c r="N117" s="84"/>
      <c r="O117" s="84"/>
    </row>
    <row r="118" spans="1:15" x14ac:dyDescent="0.35">
      <c r="A118" s="84"/>
      <c r="B118" s="84"/>
      <c r="C118" s="84"/>
      <c r="D118" s="84"/>
      <c r="E118" s="84"/>
      <c r="F118" s="84"/>
      <c r="G118" s="84"/>
      <c r="H118" s="84"/>
      <c r="I118" s="84"/>
      <c r="J118" s="84"/>
      <c r="K118" s="84"/>
      <c r="L118" s="84"/>
      <c r="M118" s="84"/>
      <c r="N118" s="84"/>
      <c r="O118" s="84"/>
    </row>
    <row r="119" spans="1:15" x14ac:dyDescent="0.35">
      <c r="A119" s="84"/>
      <c r="B119" s="84"/>
      <c r="C119" s="84"/>
      <c r="D119" s="84"/>
      <c r="E119" s="84"/>
      <c r="F119" s="84"/>
      <c r="G119" s="84"/>
      <c r="H119" s="84"/>
      <c r="I119" s="84"/>
      <c r="J119" s="84"/>
      <c r="K119" s="84"/>
      <c r="L119" s="84"/>
      <c r="M119" s="84"/>
      <c r="N119" s="84"/>
      <c r="O119" s="84"/>
    </row>
    <row r="120" spans="1:15" x14ac:dyDescent="0.35">
      <c r="A120" s="84"/>
      <c r="B120" s="84"/>
      <c r="C120" s="84"/>
      <c r="D120" s="84"/>
      <c r="E120" s="84"/>
      <c r="F120" s="84"/>
      <c r="G120" s="84"/>
      <c r="H120" s="84"/>
      <c r="I120" s="84"/>
      <c r="J120" s="84"/>
      <c r="K120" s="84"/>
      <c r="L120" s="84"/>
      <c r="M120" s="84"/>
      <c r="N120" s="84"/>
      <c r="O120" s="84"/>
    </row>
    <row r="121" spans="1:15" x14ac:dyDescent="0.35">
      <c r="A121" s="84"/>
      <c r="B121" s="84"/>
      <c r="C121" s="84"/>
      <c r="D121" s="84"/>
      <c r="E121" s="84"/>
      <c r="F121" s="84"/>
      <c r="G121" s="84"/>
      <c r="H121" s="84"/>
      <c r="I121" s="84"/>
      <c r="J121" s="84"/>
      <c r="K121" s="84"/>
      <c r="L121" s="84"/>
      <c r="M121" s="84"/>
      <c r="N121" s="84"/>
      <c r="O121" s="84"/>
    </row>
    <row r="122" spans="1:15" x14ac:dyDescent="0.35">
      <c r="A122" s="84"/>
      <c r="B122" s="84"/>
      <c r="C122" s="84"/>
      <c r="D122" s="84"/>
      <c r="E122" s="84"/>
      <c r="F122" s="84"/>
      <c r="G122" s="84"/>
      <c r="H122" s="84"/>
      <c r="I122" s="84"/>
      <c r="J122" s="84"/>
      <c r="K122" s="84"/>
      <c r="L122" s="84"/>
      <c r="M122" s="84"/>
      <c r="N122" s="84"/>
      <c r="O122" s="84"/>
    </row>
    <row r="123" spans="1:15" x14ac:dyDescent="0.35">
      <c r="A123" s="84"/>
      <c r="B123" s="84"/>
      <c r="C123" s="84"/>
      <c r="D123" s="84"/>
      <c r="E123" s="84"/>
      <c r="F123" s="84"/>
      <c r="G123" s="84"/>
      <c r="H123" s="84"/>
      <c r="I123" s="84"/>
      <c r="J123" s="84"/>
      <c r="K123" s="84"/>
      <c r="L123" s="84"/>
      <c r="M123" s="84"/>
      <c r="N123" s="84"/>
      <c r="O123" s="84"/>
    </row>
    <row r="124" spans="1:15" x14ac:dyDescent="0.35">
      <c r="A124" s="84"/>
      <c r="B124" s="84"/>
      <c r="C124" s="84"/>
      <c r="D124" s="84"/>
      <c r="E124" s="84"/>
      <c r="F124" s="84"/>
      <c r="G124" s="84"/>
      <c r="H124" s="84"/>
      <c r="I124" s="84"/>
      <c r="J124" s="84"/>
      <c r="K124" s="84"/>
      <c r="L124" s="84"/>
      <c r="M124" s="84"/>
      <c r="N124" s="84"/>
      <c r="O124" s="84"/>
    </row>
    <row r="125" spans="1:15" x14ac:dyDescent="0.35">
      <c r="A125" s="84"/>
      <c r="B125" s="84"/>
      <c r="C125" s="84"/>
      <c r="D125" s="84"/>
      <c r="E125" s="84"/>
      <c r="F125" s="84"/>
      <c r="G125" s="84"/>
      <c r="H125" s="84"/>
      <c r="I125" s="84"/>
      <c r="J125" s="84"/>
      <c r="K125" s="84"/>
      <c r="L125" s="84"/>
      <c r="M125" s="84"/>
      <c r="N125" s="84"/>
      <c r="O125" s="84"/>
    </row>
    <row r="126" spans="1:15" x14ac:dyDescent="0.35">
      <c r="A126" s="84"/>
      <c r="B126" s="84"/>
      <c r="C126" s="84"/>
      <c r="D126" s="84"/>
      <c r="E126" s="84"/>
      <c r="F126" s="84"/>
      <c r="G126" s="84"/>
      <c r="H126" s="84"/>
      <c r="I126" s="84"/>
      <c r="J126" s="84"/>
      <c r="K126" s="84"/>
      <c r="L126" s="84"/>
      <c r="M126" s="84"/>
      <c r="N126" s="84"/>
      <c r="O126" s="84"/>
    </row>
    <row r="127" spans="1:15" x14ac:dyDescent="0.35">
      <c r="A127" s="84"/>
      <c r="B127" s="84"/>
      <c r="C127" s="84"/>
      <c r="D127" s="84"/>
      <c r="E127" s="84"/>
      <c r="F127" s="84"/>
      <c r="G127" s="84"/>
      <c r="H127" s="84"/>
      <c r="I127" s="84"/>
      <c r="J127" s="84"/>
      <c r="K127" s="84"/>
      <c r="L127" s="84"/>
      <c r="M127" s="84"/>
      <c r="N127" s="84"/>
      <c r="O127" s="84"/>
    </row>
    <row r="128" spans="1:15" x14ac:dyDescent="0.35">
      <c r="A128" s="84"/>
      <c r="B128" s="84"/>
      <c r="C128" s="84"/>
      <c r="D128" s="84"/>
      <c r="E128" s="84"/>
      <c r="F128" s="84"/>
      <c r="G128" s="84"/>
      <c r="H128" s="84"/>
      <c r="I128" s="84"/>
      <c r="J128" s="84"/>
      <c r="K128" s="84"/>
      <c r="L128" s="84"/>
      <c r="M128" s="84"/>
      <c r="N128" s="84"/>
      <c r="O128" s="84"/>
    </row>
    <row r="129" spans="1:15" x14ac:dyDescent="0.35">
      <c r="A129" s="84"/>
      <c r="B129" s="84"/>
      <c r="C129" s="84"/>
      <c r="D129" s="84"/>
      <c r="E129" s="84"/>
      <c r="F129" s="84"/>
      <c r="G129" s="84"/>
      <c r="H129" s="84"/>
      <c r="I129" s="84"/>
      <c r="J129" s="84"/>
      <c r="K129" s="84"/>
      <c r="L129" s="84"/>
      <c r="M129" s="84"/>
      <c r="N129" s="84"/>
      <c r="O129" s="84"/>
    </row>
    <row r="130" spans="1:15" x14ac:dyDescent="0.35">
      <c r="A130" s="84"/>
      <c r="B130" s="84"/>
      <c r="C130" s="84"/>
      <c r="D130" s="84"/>
      <c r="E130" s="84"/>
      <c r="F130" s="84"/>
      <c r="G130" s="84"/>
      <c r="H130" s="84"/>
      <c r="I130" s="84"/>
      <c r="J130" s="84"/>
      <c r="K130" s="84"/>
      <c r="L130" s="84"/>
      <c r="M130" s="84"/>
      <c r="N130" s="84"/>
      <c r="O130" s="8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33"/>
  <sheetViews>
    <sheetView workbookViewId="0">
      <selection activeCell="B4" sqref="B4"/>
    </sheetView>
  </sheetViews>
  <sheetFormatPr defaultColWidth="8.81640625" defaultRowHeight="14.5" x14ac:dyDescent="0.35"/>
  <cols>
    <col min="1" max="1" width="21.08984375" style="78" customWidth="1"/>
    <col min="2" max="4" width="8.81640625" style="78"/>
    <col min="5" max="6" width="9.6328125" style="78" customWidth="1"/>
    <col min="7" max="7" width="14.81640625" style="78" customWidth="1"/>
    <col min="8" max="8" width="8.81640625" style="78"/>
    <col min="9" max="9" width="15.1796875" style="78" customWidth="1"/>
    <col min="10" max="10" width="1.54296875" style="78" customWidth="1"/>
    <col min="11" max="11" width="9.6328125" style="78" customWidth="1"/>
    <col min="12" max="16384" width="8.81640625" style="78"/>
  </cols>
  <sheetData>
    <row r="1" spans="1:19" s="91" customFormat="1" ht="21" x14ac:dyDescent="0.5">
      <c r="A1" s="74" t="s">
        <v>118</v>
      </c>
    </row>
    <row r="2" spans="1:19" x14ac:dyDescent="0.35">
      <c r="A2" s="92"/>
      <c r="B2" s="92"/>
      <c r="C2" s="77"/>
      <c r="E2" s="77"/>
      <c r="K2" s="77"/>
    </row>
    <row r="3" spans="1:19" x14ac:dyDescent="0.35">
      <c r="A3" s="76" t="s">
        <v>68</v>
      </c>
      <c r="B3" s="93">
        <v>0.03</v>
      </c>
      <c r="C3" s="77"/>
      <c r="E3" s="77"/>
      <c r="K3" s="77"/>
    </row>
    <row r="4" spans="1:19" x14ac:dyDescent="0.35">
      <c r="A4" s="94" t="s">
        <v>69</v>
      </c>
      <c r="B4" s="93">
        <v>0.5</v>
      </c>
      <c r="C4" s="77"/>
      <c r="E4" s="117" t="s">
        <v>93</v>
      </c>
      <c r="K4" s="95" t="s">
        <v>70</v>
      </c>
    </row>
    <row r="5" spans="1:19" x14ac:dyDescent="0.35">
      <c r="A5" s="92"/>
      <c r="B5" s="92"/>
      <c r="C5" s="77"/>
      <c r="E5" s="103"/>
      <c r="F5" s="104"/>
      <c r="G5" s="104"/>
      <c r="H5" s="104"/>
      <c r="I5" s="104"/>
      <c r="J5" s="105"/>
      <c r="K5" s="103"/>
      <c r="L5" s="104"/>
      <c r="M5" s="104"/>
      <c r="N5" s="104"/>
      <c r="O5" s="104"/>
      <c r="P5" s="104"/>
      <c r="Q5" s="104"/>
      <c r="R5" s="104"/>
      <c r="S5" s="104"/>
    </row>
    <row r="6" spans="1:19" x14ac:dyDescent="0.35">
      <c r="A6" s="92"/>
      <c r="B6" s="92"/>
      <c r="D6" s="96"/>
      <c r="E6" s="96" t="s">
        <v>73</v>
      </c>
      <c r="F6" s="118" t="s">
        <v>94</v>
      </c>
      <c r="G6" s="118" t="s">
        <v>96</v>
      </c>
      <c r="H6" s="96"/>
      <c r="I6" s="118" t="s">
        <v>96</v>
      </c>
      <c r="J6" s="87"/>
      <c r="K6" s="96" t="s">
        <v>74</v>
      </c>
      <c r="L6" s="96"/>
      <c r="M6" s="96"/>
      <c r="N6" s="96"/>
      <c r="O6" s="96" t="s">
        <v>49</v>
      </c>
      <c r="P6" s="96" t="s">
        <v>75</v>
      </c>
      <c r="Q6" s="96" t="s">
        <v>76</v>
      </c>
      <c r="R6" s="96" t="s">
        <v>77</v>
      </c>
      <c r="S6" s="96"/>
    </row>
    <row r="7" spans="1:19" x14ac:dyDescent="0.35">
      <c r="A7" s="92"/>
      <c r="B7" s="92"/>
      <c r="D7" s="81" t="s">
        <v>12</v>
      </c>
      <c r="E7" s="81" t="s">
        <v>80</v>
      </c>
      <c r="F7" s="119" t="s">
        <v>95</v>
      </c>
      <c r="G7" s="119" t="s">
        <v>97</v>
      </c>
      <c r="H7" s="81" t="s">
        <v>81</v>
      </c>
      <c r="I7" s="119" t="s">
        <v>98</v>
      </c>
      <c r="J7" s="87"/>
      <c r="K7" s="119" t="s">
        <v>80</v>
      </c>
      <c r="L7" s="81" t="s">
        <v>82</v>
      </c>
      <c r="M7" s="81" t="s">
        <v>78</v>
      </c>
      <c r="N7" s="81" t="s">
        <v>81</v>
      </c>
      <c r="O7" s="81" t="s">
        <v>83</v>
      </c>
      <c r="P7" s="119" t="s">
        <v>84</v>
      </c>
      <c r="Q7" s="119" t="s">
        <v>107</v>
      </c>
      <c r="R7" s="81" t="s">
        <v>84</v>
      </c>
      <c r="S7" s="81" t="s">
        <v>85</v>
      </c>
    </row>
    <row r="8" spans="1:19" x14ac:dyDescent="0.35">
      <c r="A8" s="92"/>
      <c r="B8" s="92"/>
      <c r="D8" s="100">
        <v>1</v>
      </c>
      <c r="E8" s="109"/>
      <c r="F8" s="109"/>
      <c r="G8" s="109"/>
      <c r="H8" s="109"/>
      <c r="I8" s="109"/>
      <c r="J8" s="110"/>
      <c r="K8" s="109"/>
      <c r="L8" s="109"/>
      <c r="M8" s="109"/>
      <c r="N8" s="109"/>
      <c r="O8" s="109"/>
      <c r="P8" s="109"/>
      <c r="Q8" s="109"/>
      <c r="R8" s="109"/>
      <c r="S8" s="109"/>
    </row>
    <row r="9" spans="1:19" x14ac:dyDescent="0.35">
      <c r="A9" s="92"/>
      <c r="B9" s="92"/>
      <c r="D9" s="100">
        <v>2</v>
      </c>
      <c r="E9" s="109"/>
      <c r="F9" s="109"/>
      <c r="G9" s="109"/>
      <c r="H9" s="109"/>
      <c r="I9" s="109"/>
      <c r="J9" s="110"/>
      <c r="K9" s="109"/>
      <c r="L9" s="109"/>
      <c r="M9" s="109"/>
      <c r="N9" s="109"/>
      <c r="O9" s="109"/>
      <c r="P9" s="109"/>
      <c r="Q9" s="109"/>
      <c r="R9" s="109"/>
      <c r="S9" s="109"/>
    </row>
    <row r="10" spans="1:19" x14ac:dyDescent="0.35">
      <c r="A10" s="92"/>
      <c r="B10" s="92"/>
      <c r="D10" s="100">
        <v>3</v>
      </c>
      <c r="E10" s="109"/>
      <c r="F10" s="109"/>
      <c r="G10" s="109"/>
      <c r="H10" s="109"/>
      <c r="I10" s="109"/>
      <c r="J10" s="110"/>
      <c r="K10" s="109"/>
      <c r="L10" s="109"/>
      <c r="M10" s="109"/>
      <c r="N10" s="109"/>
      <c r="O10" s="109"/>
      <c r="P10" s="109"/>
      <c r="Q10" s="109"/>
      <c r="R10" s="109"/>
      <c r="S10" s="109"/>
    </row>
    <row r="11" spans="1:19" x14ac:dyDescent="0.35">
      <c r="A11" s="92"/>
      <c r="B11" s="92"/>
      <c r="D11" s="100">
        <v>4</v>
      </c>
      <c r="E11" s="109"/>
      <c r="F11" s="109"/>
      <c r="G11" s="109"/>
      <c r="H11" s="109"/>
      <c r="I11" s="109"/>
      <c r="J11" s="110"/>
      <c r="K11" s="109"/>
      <c r="L11" s="109"/>
      <c r="M11" s="109"/>
      <c r="N11" s="109"/>
      <c r="O11" s="109"/>
      <c r="P11" s="109"/>
      <c r="Q11" s="109"/>
      <c r="R11" s="109"/>
      <c r="S11" s="109"/>
    </row>
    <row r="12" spans="1:19" x14ac:dyDescent="0.35">
      <c r="A12" s="92"/>
      <c r="B12" s="92"/>
      <c r="D12" s="100">
        <v>5</v>
      </c>
      <c r="E12" s="109"/>
      <c r="F12" s="109"/>
      <c r="G12" s="109"/>
      <c r="H12" s="109"/>
      <c r="I12" s="109"/>
      <c r="J12" s="110"/>
      <c r="K12" s="109"/>
      <c r="L12" s="109"/>
      <c r="M12" s="109"/>
      <c r="N12" s="109"/>
      <c r="O12" s="109"/>
      <c r="P12" s="109"/>
      <c r="Q12" s="109"/>
      <c r="R12" s="109"/>
      <c r="S12" s="109"/>
    </row>
    <row r="13" spans="1:19" x14ac:dyDescent="0.35">
      <c r="A13" s="92"/>
      <c r="B13" s="92"/>
      <c r="D13" s="100">
        <v>6</v>
      </c>
      <c r="E13" s="109"/>
      <c r="F13" s="109"/>
      <c r="G13" s="109"/>
      <c r="H13" s="109"/>
      <c r="I13" s="109"/>
      <c r="J13" s="110"/>
      <c r="K13" s="109"/>
      <c r="L13" s="109"/>
      <c r="M13" s="109"/>
      <c r="N13" s="109"/>
      <c r="O13" s="109"/>
      <c r="P13" s="109"/>
      <c r="Q13" s="109"/>
      <c r="R13" s="109"/>
      <c r="S13" s="109"/>
    </row>
    <row r="14" spans="1:19" x14ac:dyDescent="0.35">
      <c r="A14" s="92"/>
      <c r="B14" s="92"/>
      <c r="D14" s="100">
        <v>7</v>
      </c>
      <c r="E14" s="109"/>
      <c r="F14" s="109"/>
      <c r="G14" s="109"/>
      <c r="H14" s="109"/>
      <c r="I14" s="109"/>
      <c r="J14" s="110"/>
      <c r="K14" s="109"/>
      <c r="L14" s="109"/>
      <c r="M14" s="109"/>
      <c r="N14" s="109"/>
      <c r="O14" s="109"/>
      <c r="P14" s="109"/>
      <c r="Q14" s="109"/>
      <c r="R14" s="109"/>
      <c r="S14" s="109"/>
    </row>
    <row r="15" spans="1:19" x14ac:dyDescent="0.35">
      <c r="A15" s="92"/>
      <c r="B15" s="92"/>
      <c r="D15" s="100">
        <v>8</v>
      </c>
      <c r="E15" s="109"/>
      <c r="F15" s="109"/>
      <c r="G15" s="109"/>
      <c r="H15" s="109"/>
      <c r="I15" s="109"/>
      <c r="J15" s="110"/>
      <c r="K15" s="109"/>
      <c r="L15" s="109"/>
      <c r="M15" s="109"/>
      <c r="N15" s="109"/>
      <c r="O15" s="109"/>
      <c r="P15" s="109"/>
      <c r="Q15" s="109"/>
      <c r="R15" s="109"/>
      <c r="S15" s="109"/>
    </row>
    <row r="16" spans="1:19" x14ac:dyDescent="0.35">
      <c r="A16" s="92"/>
      <c r="B16" s="92"/>
      <c r="D16" s="100">
        <v>9</v>
      </c>
      <c r="E16" s="109"/>
      <c r="F16" s="109"/>
      <c r="G16" s="109"/>
      <c r="H16" s="109"/>
      <c r="I16" s="109"/>
      <c r="J16" s="110"/>
      <c r="K16" s="109"/>
      <c r="L16" s="109"/>
      <c r="M16" s="109"/>
      <c r="N16" s="109"/>
      <c r="O16" s="109"/>
      <c r="P16" s="109"/>
      <c r="Q16" s="109"/>
      <c r="R16" s="109"/>
      <c r="S16" s="109"/>
    </row>
    <row r="17" spans="4:29" x14ac:dyDescent="0.35">
      <c r="D17" s="100">
        <v>10</v>
      </c>
      <c r="E17" s="109"/>
      <c r="F17" s="109"/>
      <c r="G17" s="109"/>
      <c r="H17" s="109"/>
      <c r="I17" s="109"/>
      <c r="J17" s="110"/>
      <c r="K17" s="109"/>
      <c r="L17" s="109"/>
      <c r="M17" s="109"/>
      <c r="N17" s="109"/>
      <c r="O17" s="109"/>
      <c r="P17" s="109"/>
      <c r="Q17" s="109"/>
      <c r="R17" s="109"/>
      <c r="S17" s="109"/>
    </row>
    <row r="24" spans="4:29" x14ac:dyDescent="0.35">
      <c r="T24" s="101"/>
      <c r="U24" s="101"/>
      <c r="V24" s="101"/>
      <c r="W24" s="101"/>
      <c r="X24" s="102"/>
      <c r="Y24" s="101"/>
      <c r="Z24" s="102"/>
      <c r="AA24" s="101"/>
      <c r="AB24" s="101"/>
      <c r="AC24" s="101"/>
    </row>
    <row r="25" spans="4:29" x14ac:dyDescent="0.35">
      <c r="T25" s="101"/>
      <c r="U25" s="101"/>
      <c r="V25" s="101"/>
      <c r="W25" s="101"/>
      <c r="X25" s="102"/>
      <c r="Y25" s="101"/>
      <c r="Z25" s="102"/>
      <c r="AA25" s="101"/>
      <c r="AB25" s="101"/>
      <c r="AC25" s="101"/>
    </row>
    <row r="26" spans="4:29" x14ac:dyDescent="0.35">
      <c r="T26" s="101"/>
      <c r="U26" s="101"/>
      <c r="V26" s="101"/>
      <c r="W26" s="101"/>
      <c r="X26" s="102"/>
      <c r="Y26" s="101"/>
      <c r="Z26" s="102"/>
      <c r="AA26" s="101"/>
      <c r="AB26" s="101"/>
      <c r="AC26" s="101"/>
    </row>
    <row r="27" spans="4:29" x14ac:dyDescent="0.35">
      <c r="T27" s="101"/>
      <c r="U27" s="101"/>
      <c r="V27" s="101"/>
      <c r="W27" s="101"/>
      <c r="X27" s="102"/>
      <c r="Y27" s="101"/>
      <c r="Z27" s="102"/>
      <c r="AA27" s="101"/>
      <c r="AB27" s="101"/>
      <c r="AC27" s="101"/>
    </row>
    <row r="28" spans="4:29" x14ac:dyDescent="0.35">
      <c r="T28" s="101"/>
      <c r="U28" s="101"/>
      <c r="V28" s="101"/>
      <c r="W28" s="101"/>
      <c r="X28" s="102"/>
      <c r="Y28" s="101"/>
      <c r="Z28" s="102"/>
      <c r="AA28" s="101"/>
      <c r="AB28" s="101"/>
      <c r="AC28" s="101"/>
    </row>
    <row r="29" spans="4:29" x14ac:dyDescent="0.35">
      <c r="T29" s="101"/>
      <c r="U29" s="101"/>
      <c r="V29" s="101"/>
      <c r="W29" s="101"/>
      <c r="X29" s="102"/>
      <c r="Y29" s="101"/>
      <c r="Z29" s="102"/>
      <c r="AA29" s="101"/>
      <c r="AB29" s="101"/>
      <c r="AC29" s="101"/>
    </row>
    <row r="30" spans="4:29" x14ac:dyDescent="0.35">
      <c r="T30" s="101"/>
      <c r="U30" s="101"/>
      <c r="V30" s="101"/>
      <c r="W30" s="101"/>
      <c r="X30" s="102"/>
      <c r="Y30" s="101"/>
      <c r="Z30" s="102"/>
      <c r="AA30" s="101"/>
      <c r="AB30" s="101"/>
      <c r="AC30" s="101"/>
    </row>
    <row r="31" spans="4:29" x14ac:dyDescent="0.35">
      <c r="T31" s="101"/>
      <c r="U31" s="101"/>
      <c r="V31" s="101"/>
      <c r="W31" s="101"/>
      <c r="X31" s="102"/>
      <c r="Y31" s="101"/>
      <c r="Z31" s="102"/>
      <c r="AA31" s="101"/>
      <c r="AB31" s="101"/>
      <c r="AC31" s="101"/>
    </row>
    <row r="32" spans="4:29" x14ac:dyDescent="0.35">
      <c r="T32" s="101"/>
      <c r="U32" s="101"/>
      <c r="V32" s="101"/>
      <c r="W32" s="101"/>
      <c r="X32" s="102"/>
      <c r="Y32" s="101"/>
      <c r="Z32" s="102"/>
      <c r="AA32" s="101"/>
      <c r="AB32" s="101"/>
      <c r="AC32" s="101"/>
    </row>
    <row r="33" spans="20:29" x14ac:dyDescent="0.35">
      <c r="T33" s="101"/>
      <c r="U33" s="101"/>
      <c r="V33" s="101"/>
      <c r="W33" s="101"/>
      <c r="X33" s="102"/>
      <c r="Y33" s="101"/>
      <c r="Z33" s="102"/>
      <c r="AA33" s="101"/>
      <c r="AB33" s="101"/>
      <c r="AC33" s="10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F3030-4CA2-48DD-B6DB-72C343B34F65}">
  <dimension ref="A1:Z33"/>
  <sheetViews>
    <sheetView workbookViewId="0">
      <selection activeCell="H7" sqref="H7"/>
    </sheetView>
  </sheetViews>
  <sheetFormatPr defaultColWidth="8.81640625" defaultRowHeight="14.5" x14ac:dyDescent="0.35"/>
  <cols>
    <col min="1" max="1" width="21.08984375" style="78" customWidth="1"/>
    <col min="2" max="6" width="8.81640625" style="78"/>
    <col min="7" max="7" width="1.54296875" style="77" customWidth="1"/>
    <col min="8" max="8" width="20.81640625" style="78" customWidth="1"/>
    <col min="9" max="9" width="1.54296875" style="78" customWidth="1"/>
    <col min="10" max="10" width="8.81640625" style="78"/>
    <col min="11" max="11" width="12.81640625" style="78" customWidth="1"/>
    <col min="12" max="16384" width="8.81640625" style="78"/>
  </cols>
  <sheetData>
    <row r="1" spans="1:16" s="91" customFormat="1" ht="21" x14ac:dyDescent="0.5">
      <c r="A1" s="144" t="s">
        <v>129</v>
      </c>
      <c r="G1" s="140"/>
    </row>
    <row r="2" spans="1:16" x14ac:dyDescent="0.35">
      <c r="A2" s="92"/>
      <c r="B2" s="92"/>
      <c r="C2" s="77"/>
      <c r="H2" s="77"/>
      <c r="I2" s="77"/>
      <c r="J2" s="77"/>
    </row>
    <row r="3" spans="1:16" x14ac:dyDescent="0.35">
      <c r="A3" s="76" t="s">
        <v>68</v>
      </c>
      <c r="B3" s="93">
        <v>0.03</v>
      </c>
      <c r="C3" s="77"/>
      <c r="H3" s="77"/>
      <c r="I3" s="77"/>
      <c r="J3" s="77"/>
      <c r="N3" s="108"/>
      <c r="O3" s="108"/>
      <c r="P3" s="104"/>
    </row>
    <row r="4" spans="1:16" x14ac:dyDescent="0.35">
      <c r="A4" s="94" t="s">
        <v>69</v>
      </c>
      <c r="B4" s="93">
        <v>0.5</v>
      </c>
      <c r="C4" s="77"/>
      <c r="H4" s="138" t="s">
        <v>99</v>
      </c>
      <c r="I4" s="77"/>
      <c r="J4" s="95" t="s">
        <v>72</v>
      </c>
      <c r="M4" s="104"/>
    </row>
    <row r="5" spans="1:16" x14ac:dyDescent="0.35">
      <c r="A5" s="92"/>
      <c r="B5" s="92"/>
      <c r="C5" s="77"/>
      <c r="H5" s="139"/>
      <c r="I5" s="106"/>
      <c r="J5" s="103"/>
      <c r="K5" s="104"/>
      <c r="L5" s="104"/>
      <c r="M5" s="107" t="s">
        <v>106</v>
      </c>
      <c r="N5" s="104"/>
      <c r="O5" s="104"/>
      <c r="P5" s="104"/>
    </row>
    <row r="6" spans="1:16" x14ac:dyDescent="0.35">
      <c r="A6" s="92"/>
      <c r="B6" s="92"/>
      <c r="D6" s="97"/>
      <c r="E6" s="97"/>
      <c r="F6" s="96" t="s">
        <v>76</v>
      </c>
      <c r="G6" s="141"/>
      <c r="H6" s="96" t="s">
        <v>71</v>
      </c>
      <c r="I6" s="98"/>
      <c r="J6" s="96" t="s">
        <v>78</v>
      </c>
      <c r="K6" s="118" t="s">
        <v>103</v>
      </c>
      <c r="L6" s="97" t="s">
        <v>79</v>
      </c>
      <c r="M6" s="121" t="s">
        <v>101</v>
      </c>
      <c r="N6" s="96" t="s">
        <v>79</v>
      </c>
      <c r="O6" s="96"/>
      <c r="P6" s="96"/>
    </row>
    <row r="7" spans="1:16" x14ac:dyDescent="0.35">
      <c r="A7" s="92"/>
      <c r="B7" s="92"/>
      <c r="D7" s="99" t="s">
        <v>12</v>
      </c>
      <c r="E7" s="119" t="s">
        <v>85</v>
      </c>
      <c r="F7" s="120" t="s">
        <v>107</v>
      </c>
      <c r="G7" s="141"/>
      <c r="H7" s="119" t="s">
        <v>100</v>
      </c>
      <c r="I7" s="98"/>
      <c r="J7" s="119" t="s">
        <v>102</v>
      </c>
      <c r="K7" s="119" t="s">
        <v>104</v>
      </c>
      <c r="L7" s="99" t="s">
        <v>86</v>
      </c>
      <c r="M7" s="81" t="s">
        <v>87</v>
      </c>
      <c r="N7" s="119" t="s">
        <v>105</v>
      </c>
      <c r="O7" s="81" t="s">
        <v>88</v>
      </c>
      <c r="P7" s="81" t="s">
        <v>89</v>
      </c>
    </row>
    <row r="8" spans="1:16" x14ac:dyDescent="0.35">
      <c r="A8" s="92"/>
      <c r="B8" s="92"/>
      <c r="D8" s="142">
        <v>1</v>
      </c>
      <c r="E8" s="99"/>
      <c r="F8" s="100"/>
      <c r="G8" s="141"/>
      <c r="H8" s="109"/>
      <c r="I8" s="111"/>
      <c r="J8" s="109"/>
      <c r="K8" s="109"/>
      <c r="L8" s="109"/>
      <c r="M8" s="109"/>
      <c r="N8" s="109"/>
      <c r="O8" s="109"/>
      <c r="P8" s="109"/>
    </row>
    <row r="9" spans="1:16" x14ac:dyDescent="0.35">
      <c r="A9" s="92"/>
      <c r="B9" s="92"/>
      <c r="D9" s="142">
        <v>2</v>
      </c>
      <c r="E9" s="142"/>
      <c r="F9" s="100"/>
      <c r="G9" s="141"/>
      <c r="H9" s="109"/>
      <c r="I9" s="111"/>
      <c r="J9" s="109"/>
      <c r="K9" s="109"/>
      <c r="L9" s="109"/>
      <c r="M9" s="109"/>
      <c r="N9" s="109"/>
      <c r="O9" s="109"/>
      <c r="P9" s="109"/>
    </row>
    <row r="10" spans="1:16" x14ac:dyDescent="0.35">
      <c r="A10" s="92"/>
      <c r="B10" s="92"/>
      <c r="D10" s="142">
        <v>3</v>
      </c>
      <c r="E10" s="142"/>
      <c r="F10" s="100"/>
      <c r="G10" s="141"/>
      <c r="H10" s="109"/>
      <c r="I10" s="111"/>
      <c r="J10" s="109"/>
      <c r="K10" s="109"/>
      <c r="L10" s="109"/>
      <c r="M10" s="109"/>
      <c r="N10" s="109"/>
      <c r="O10" s="109"/>
      <c r="P10" s="109"/>
    </row>
    <row r="11" spans="1:16" x14ac:dyDescent="0.35">
      <c r="A11" s="92"/>
      <c r="B11" s="92"/>
      <c r="D11" s="142">
        <v>4</v>
      </c>
      <c r="E11" s="142"/>
      <c r="F11" s="100"/>
      <c r="G11" s="141"/>
      <c r="H11" s="109"/>
      <c r="I11" s="111"/>
      <c r="J11" s="109"/>
      <c r="K11" s="109"/>
      <c r="L11" s="109"/>
      <c r="M11" s="109"/>
      <c r="N11" s="109"/>
      <c r="O11" s="109"/>
      <c r="P11" s="109"/>
    </row>
    <row r="12" spans="1:16" x14ac:dyDescent="0.35">
      <c r="A12" s="92"/>
      <c r="B12" s="92"/>
      <c r="D12" s="142">
        <v>5</v>
      </c>
      <c r="E12" s="142"/>
      <c r="F12" s="100"/>
      <c r="G12" s="141"/>
      <c r="H12" s="109"/>
      <c r="I12" s="111"/>
      <c r="J12" s="109"/>
      <c r="K12" s="109"/>
      <c r="L12" s="109"/>
      <c r="M12" s="109"/>
      <c r="N12" s="109"/>
      <c r="O12" s="109"/>
      <c r="P12" s="109"/>
    </row>
    <row r="13" spans="1:16" x14ac:dyDescent="0.35">
      <c r="A13" s="92"/>
      <c r="B13" s="92"/>
      <c r="D13" s="142">
        <v>6</v>
      </c>
      <c r="E13" s="142"/>
      <c r="F13" s="100"/>
      <c r="G13" s="141"/>
      <c r="H13" s="109"/>
      <c r="I13" s="111"/>
      <c r="J13" s="109"/>
      <c r="K13" s="109"/>
      <c r="L13" s="109"/>
      <c r="M13" s="109"/>
      <c r="N13" s="109"/>
      <c r="O13" s="109"/>
      <c r="P13" s="109"/>
    </row>
    <row r="14" spans="1:16" x14ac:dyDescent="0.35">
      <c r="A14" s="92"/>
      <c r="B14" s="92"/>
      <c r="D14" s="142">
        <v>7</v>
      </c>
      <c r="E14" s="142"/>
      <c r="F14" s="100"/>
      <c r="G14" s="141"/>
      <c r="H14" s="109"/>
      <c r="I14" s="111"/>
      <c r="J14" s="109"/>
      <c r="K14" s="109"/>
      <c r="L14" s="109"/>
      <c r="M14" s="109"/>
      <c r="N14" s="109"/>
      <c r="O14" s="109"/>
      <c r="P14" s="109"/>
    </row>
    <row r="15" spans="1:16" x14ac:dyDescent="0.35">
      <c r="A15" s="92"/>
      <c r="B15" s="92"/>
      <c r="D15" s="142">
        <v>8</v>
      </c>
      <c r="E15" s="142"/>
      <c r="F15" s="100"/>
      <c r="G15" s="141"/>
      <c r="H15" s="109"/>
      <c r="I15" s="111"/>
      <c r="J15" s="109"/>
      <c r="K15" s="109"/>
      <c r="L15" s="109"/>
      <c r="M15" s="109"/>
      <c r="N15" s="109"/>
      <c r="O15" s="109"/>
      <c r="P15" s="109"/>
    </row>
    <row r="16" spans="1:16" x14ac:dyDescent="0.35">
      <c r="A16" s="92"/>
      <c r="B16" s="92"/>
      <c r="D16" s="142">
        <v>9</v>
      </c>
      <c r="E16" s="142"/>
      <c r="F16" s="100"/>
      <c r="G16" s="141"/>
      <c r="H16" s="109"/>
      <c r="I16" s="111"/>
      <c r="J16" s="109"/>
      <c r="K16" s="109"/>
      <c r="L16" s="109"/>
      <c r="M16" s="109"/>
      <c r="N16" s="109"/>
      <c r="O16" s="109"/>
      <c r="P16" s="109"/>
    </row>
    <row r="17" spans="4:26" x14ac:dyDescent="0.35">
      <c r="D17" s="142">
        <v>10</v>
      </c>
      <c r="E17" s="142"/>
      <c r="F17" s="100"/>
      <c r="G17" s="141"/>
      <c r="H17" s="109"/>
      <c r="I17" s="111"/>
      <c r="J17" s="109"/>
      <c r="K17" s="109"/>
      <c r="L17" s="109"/>
      <c r="M17" s="109"/>
      <c r="N17" s="109"/>
      <c r="O17" s="109"/>
      <c r="P17" s="109"/>
    </row>
    <row r="18" spans="4:26" x14ac:dyDescent="0.35">
      <c r="I18" s="77"/>
    </row>
    <row r="24" spans="4:26" x14ac:dyDescent="0.35">
      <c r="K24" s="101"/>
      <c r="L24" s="101"/>
      <c r="M24" s="101"/>
      <c r="N24" s="101"/>
      <c r="O24" s="101"/>
      <c r="P24" s="101"/>
      <c r="Q24" s="101"/>
      <c r="R24" s="101"/>
      <c r="S24" s="101"/>
      <c r="T24" s="101"/>
      <c r="U24" s="102"/>
      <c r="V24" s="101"/>
      <c r="W24" s="102"/>
      <c r="X24" s="101"/>
      <c r="Y24" s="101"/>
      <c r="Z24" s="101"/>
    </row>
    <row r="25" spans="4:26" x14ac:dyDescent="0.35">
      <c r="K25" s="101"/>
      <c r="L25" s="101"/>
      <c r="M25" s="101"/>
      <c r="N25" s="101"/>
      <c r="O25" s="101"/>
      <c r="P25" s="101"/>
      <c r="Q25" s="101"/>
      <c r="R25" s="101"/>
      <c r="S25" s="101"/>
      <c r="T25" s="101"/>
      <c r="U25" s="102"/>
      <c r="V25" s="101"/>
      <c r="W25" s="102"/>
      <c r="X25" s="101"/>
      <c r="Y25" s="101"/>
      <c r="Z25" s="101"/>
    </row>
    <row r="26" spans="4:26" x14ac:dyDescent="0.35">
      <c r="K26" s="101"/>
      <c r="L26" s="101"/>
      <c r="M26" s="101"/>
      <c r="N26" s="101"/>
      <c r="O26" s="101"/>
      <c r="P26" s="101"/>
      <c r="Q26" s="101"/>
      <c r="R26" s="101"/>
      <c r="S26" s="101"/>
      <c r="T26" s="101"/>
      <c r="U26" s="102"/>
      <c r="V26" s="101"/>
      <c r="W26" s="102"/>
      <c r="X26" s="101"/>
      <c r="Y26" s="101"/>
      <c r="Z26" s="101"/>
    </row>
    <row r="27" spans="4:26" x14ac:dyDescent="0.35">
      <c r="K27" s="101"/>
      <c r="L27" s="101"/>
      <c r="M27" s="101"/>
      <c r="N27" s="101"/>
      <c r="O27" s="101"/>
      <c r="P27" s="101"/>
      <c r="Q27" s="101"/>
      <c r="R27" s="101"/>
      <c r="S27" s="101"/>
      <c r="T27" s="101"/>
      <c r="U27" s="102"/>
      <c r="V27" s="101"/>
      <c r="W27" s="102"/>
      <c r="X27" s="101"/>
      <c r="Y27" s="101"/>
      <c r="Z27" s="101"/>
    </row>
    <row r="28" spans="4:26" x14ac:dyDescent="0.35">
      <c r="K28" s="101"/>
      <c r="L28" s="101"/>
      <c r="M28" s="101"/>
      <c r="N28" s="101"/>
      <c r="O28" s="101"/>
      <c r="P28" s="101"/>
      <c r="Q28" s="101"/>
      <c r="R28" s="101"/>
      <c r="S28" s="101"/>
      <c r="T28" s="101"/>
      <c r="U28" s="102"/>
      <c r="V28" s="101"/>
      <c r="W28" s="102"/>
      <c r="X28" s="101"/>
      <c r="Y28" s="101"/>
      <c r="Z28" s="101"/>
    </row>
    <row r="29" spans="4:26" x14ac:dyDescent="0.35">
      <c r="K29" s="101"/>
      <c r="L29" s="101"/>
      <c r="M29" s="101"/>
      <c r="N29" s="101"/>
      <c r="O29" s="101"/>
      <c r="P29" s="101"/>
      <c r="Q29" s="101"/>
      <c r="R29" s="101"/>
      <c r="S29" s="101"/>
      <c r="T29" s="101"/>
      <c r="U29" s="102"/>
      <c r="V29" s="101"/>
      <c r="W29" s="102"/>
      <c r="X29" s="101"/>
      <c r="Y29" s="101"/>
      <c r="Z29" s="101"/>
    </row>
    <row r="30" spans="4:26" x14ac:dyDescent="0.35">
      <c r="K30" s="101"/>
      <c r="L30" s="101"/>
      <c r="M30" s="101"/>
      <c r="N30" s="101"/>
      <c r="O30" s="101"/>
      <c r="P30" s="101"/>
      <c r="Q30" s="101"/>
      <c r="R30" s="101"/>
      <c r="S30" s="101"/>
      <c r="T30" s="101"/>
      <c r="U30" s="102"/>
      <c r="V30" s="101"/>
      <c r="W30" s="102"/>
      <c r="X30" s="101"/>
      <c r="Y30" s="101"/>
      <c r="Z30" s="101"/>
    </row>
    <row r="31" spans="4:26" x14ac:dyDescent="0.35">
      <c r="K31" s="101"/>
      <c r="L31" s="101"/>
      <c r="M31" s="101"/>
      <c r="N31" s="101"/>
      <c r="O31" s="101"/>
      <c r="P31" s="101"/>
      <c r="Q31" s="101"/>
      <c r="R31" s="101"/>
      <c r="S31" s="101"/>
      <c r="T31" s="101"/>
      <c r="U31" s="102"/>
      <c r="V31" s="101"/>
      <c r="W31" s="102"/>
      <c r="X31" s="101"/>
      <c r="Y31" s="101"/>
      <c r="Z31" s="101"/>
    </row>
    <row r="32" spans="4:26" x14ac:dyDescent="0.35">
      <c r="K32" s="101"/>
      <c r="L32" s="101"/>
      <c r="M32" s="101"/>
      <c r="N32" s="101"/>
      <c r="O32" s="101"/>
      <c r="P32" s="101"/>
      <c r="Q32" s="101"/>
      <c r="R32" s="101"/>
      <c r="S32" s="101"/>
      <c r="T32" s="101"/>
      <c r="U32" s="102"/>
      <c r="V32" s="101"/>
      <c r="W32" s="102"/>
      <c r="X32" s="101"/>
      <c r="Y32" s="101"/>
      <c r="Z32" s="101"/>
    </row>
    <row r="33" spans="11:26" x14ac:dyDescent="0.35">
      <c r="K33" s="101"/>
      <c r="L33" s="101"/>
      <c r="M33" s="101"/>
      <c r="N33" s="101"/>
      <c r="O33" s="101"/>
      <c r="P33" s="101"/>
      <c r="Q33" s="101"/>
      <c r="R33" s="101"/>
      <c r="S33" s="101"/>
      <c r="T33" s="101"/>
      <c r="U33" s="102"/>
      <c r="V33" s="101"/>
      <c r="W33" s="102"/>
      <c r="X33" s="101"/>
      <c r="Y33" s="101"/>
      <c r="Z33" s="101"/>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6"/>
  <sheetViews>
    <sheetView workbookViewId="0"/>
  </sheetViews>
  <sheetFormatPr defaultColWidth="8.81640625" defaultRowHeight="14.5" x14ac:dyDescent="0.35"/>
  <cols>
    <col min="1" max="1" width="10" style="80" customWidth="1"/>
    <col min="2" max="5" width="8.81640625" style="80"/>
    <col min="6" max="6" width="8.54296875" style="80" customWidth="1"/>
    <col min="7" max="7" width="8.81640625" style="80" customWidth="1"/>
    <col min="8" max="15" width="8.81640625" style="80"/>
    <col min="16" max="16" width="9.54296875" style="80" customWidth="1"/>
    <col min="17" max="17" width="12.08984375" style="80" customWidth="1"/>
    <col min="18" max="18" width="7.1796875" style="80" customWidth="1"/>
    <col min="19" max="16384" width="8.81640625" style="80"/>
  </cols>
  <sheetData>
    <row r="1" spans="1:35" s="75" customFormat="1" ht="21" x14ac:dyDescent="0.5">
      <c r="A1" s="74" t="s">
        <v>119</v>
      </c>
    </row>
    <row r="2" spans="1:35" x14ac:dyDescent="0.35">
      <c r="A2" s="90"/>
      <c r="B2" s="90"/>
      <c r="C2" s="90"/>
      <c r="D2" s="90"/>
      <c r="E2" s="90"/>
      <c r="F2" s="90"/>
      <c r="G2" s="90"/>
      <c r="H2" s="90"/>
      <c r="I2" s="90"/>
      <c r="J2" s="90"/>
      <c r="K2" s="90"/>
      <c r="L2" s="90"/>
      <c r="M2" s="90"/>
      <c r="N2" s="90"/>
      <c r="O2" s="90"/>
      <c r="P2" s="90"/>
      <c r="Q2" s="90"/>
      <c r="R2" s="90"/>
      <c r="S2" s="90"/>
      <c r="T2" s="90"/>
      <c r="U2" s="90"/>
      <c r="V2" s="90"/>
      <c r="W2" s="90"/>
      <c r="X2" s="90"/>
      <c r="Y2" s="90"/>
    </row>
    <row r="3" spans="1:35" x14ac:dyDescent="0.35">
      <c r="T3" s="88"/>
      <c r="U3" s="88"/>
      <c r="V3" s="88"/>
      <c r="W3" s="88"/>
      <c r="X3" s="88"/>
      <c r="Y3" s="88"/>
      <c r="Z3" s="88"/>
      <c r="AA3" s="88"/>
      <c r="AB3" s="88"/>
      <c r="AC3" s="88"/>
      <c r="AD3" s="89"/>
      <c r="AE3" s="88"/>
      <c r="AF3" s="89"/>
      <c r="AG3" s="88"/>
      <c r="AH3" s="88"/>
      <c r="AI3" s="88"/>
    </row>
    <row r="4" spans="1:35" x14ac:dyDescent="0.35">
      <c r="T4" s="88"/>
      <c r="U4" s="88"/>
      <c r="V4" s="88"/>
      <c r="W4" s="88"/>
      <c r="X4" s="88"/>
      <c r="Y4" s="88"/>
      <c r="Z4" s="88"/>
      <c r="AA4" s="88"/>
      <c r="AB4" s="88"/>
      <c r="AC4" s="88"/>
      <c r="AD4" s="89"/>
      <c r="AE4" s="88"/>
      <c r="AF4" s="89"/>
      <c r="AG4" s="88"/>
      <c r="AH4" s="88"/>
      <c r="AI4" s="88"/>
    </row>
    <row r="5" spans="1:35" x14ac:dyDescent="0.35">
      <c r="T5" s="88"/>
      <c r="U5" s="88"/>
      <c r="V5" s="88"/>
      <c r="W5" s="88"/>
      <c r="X5" s="88"/>
      <c r="Y5" s="88"/>
      <c r="Z5" s="88"/>
      <c r="AA5" s="88"/>
      <c r="AB5" s="88"/>
      <c r="AC5" s="88"/>
      <c r="AD5" s="89"/>
      <c r="AE5" s="88"/>
      <c r="AF5" s="89"/>
      <c r="AG5" s="88"/>
      <c r="AH5" s="88"/>
      <c r="AI5" s="88"/>
    </row>
    <row r="6" spans="1:35" x14ac:dyDescent="0.35">
      <c r="T6" s="88"/>
      <c r="U6" s="88"/>
      <c r="V6" s="88"/>
      <c r="W6" s="88"/>
      <c r="X6" s="88"/>
      <c r="Y6" s="88"/>
      <c r="Z6" s="88"/>
      <c r="AA6" s="88"/>
      <c r="AB6" s="88"/>
      <c r="AC6" s="88"/>
      <c r="AD6" s="89"/>
      <c r="AE6" s="88"/>
      <c r="AF6" s="89"/>
      <c r="AG6" s="88"/>
      <c r="AH6" s="88"/>
      <c r="AI6" s="8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8"/>
  <sheetViews>
    <sheetView workbookViewId="0">
      <selection activeCell="D18" sqref="D18"/>
    </sheetView>
  </sheetViews>
  <sheetFormatPr defaultColWidth="8.81640625" defaultRowHeight="14.5" x14ac:dyDescent="0.35"/>
  <cols>
    <col min="1" max="2" width="8.81640625" style="78"/>
    <col min="3" max="3" width="8.81640625" style="113"/>
    <col min="4" max="16384" width="8.81640625" style="78"/>
  </cols>
  <sheetData>
    <row r="1" spans="1:3" s="91" customFormat="1" ht="21" x14ac:dyDescent="0.5">
      <c r="A1" s="74" t="s">
        <v>120</v>
      </c>
      <c r="C1" s="112"/>
    </row>
    <row r="2" spans="1:3" s="114" customFormat="1" x14ac:dyDescent="0.35">
      <c r="C2" s="115"/>
    </row>
    <row r="3" spans="1:3" s="114" customFormat="1" x14ac:dyDescent="0.35">
      <c r="C3" s="115"/>
    </row>
    <row r="4" spans="1:3" s="114" customFormat="1" x14ac:dyDescent="0.35">
      <c r="C4" s="115"/>
    </row>
    <row r="5" spans="1:3" s="114" customFormat="1" x14ac:dyDescent="0.35">
      <c r="C5" s="115"/>
    </row>
    <row r="6" spans="1:3" s="114" customFormat="1" x14ac:dyDescent="0.35">
      <c r="C6" s="115"/>
    </row>
    <row r="7" spans="1:3" s="114" customFormat="1" x14ac:dyDescent="0.35">
      <c r="C7" s="115"/>
    </row>
    <row r="8" spans="1:3" s="114" customFormat="1" x14ac:dyDescent="0.35">
      <c r="C8" s="115"/>
    </row>
    <row r="9" spans="1:3" s="114" customFormat="1" x14ac:dyDescent="0.35">
      <c r="C9" s="115"/>
    </row>
    <row r="10" spans="1:3" s="114" customFormat="1" x14ac:dyDescent="0.35">
      <c r="C10" s="115"/>
    </row>
    <row r="11" spans="1:3" s="114" customFormat="1" x14ac:dyDescent="0.35">
      <c r="C11" s="115"/>
    </row>
    <row r="12" spans="1:3" s="114" customFormat="1" x14ac:dyDescent="0.35">
      <c r="C12" s="115"/>
    </row>
    <row r="13" spans="1:3" s="114" customFormat="1" x14ac:dyDescent="0.35">
      <c r="C13" s="115"/>
    </row>
    <row r="14" spans="1:3" s="114" customFormat="1" x14ac:dyDescent="0.35">
      <c r="C14" s="115"/>
    </row>
    <row r="15" spans="1:3" s="114" customFormat="1" x14ac:dyDescent="0.35">
      <c r="C15" s="115"/>
    </row>
    <row r="16" spans="1:3" s="114" customFormat="1" x14ac:dyDescent="0.35">
      <c r="C16" s="115"/>
    </row>
    <row r="17" spans="3:3" s="114" customFormat="1" x14ac:dyDescent="0.35">
      <c r="C17" s="115"/>
    </row>
    <row r="18" spans="3:3" s="114" customFormat="1" x14ac:dyDescent="0.35">
      <c r="C18" s="115"/>
    </row>
    <row r="19" spans="3:3" s="114" customFormat="1" x14ac:dyDescent="0.35">
      <c r="C19" s="115"/>
    </row>
    <row r="20" spans="3:3" s="114" customFormat="1" x14ac:dyDescent="0.35">
      <c r="C20" s="115"/>
    </row>
    <row r="21" spans="3:3" s="114" customFormat="1" x14ac:dyDescent="0.35">
      <c r="C21" s="115"/>
    </row>
    <row r="22" spans="3:3" s="114" customFormat="1" x14ac:dyDescent="0.35">
      <c r="C22" s="115"/>
    </row>
    <row r="23" spans="3:3" s="114" customFormat="1" x14ac:dyDescent="0.35">
      <c r="C23" s="115"/>
    </row>
    <row r="24" spans="3:3" s="114" customFormat="1" x14ac:dyDescent="0.35">
      <c r="C24" s="115"/>
    </row>
    <row r="25" spans="3:3" s="114" customFormat="1" x14ac:dyDescent="0.35">
      <c r="C25" s="115"/>
    </row>
    <row r="26" spans="3:3" s="114" customFormat="1" x14ac:dyDescent="0.35">
      <c r="C26" s="115"/>
    </row>
    <row r="27" spans="3:3" s="114" customFormat="1" x14ac:dyDescent="0.35">
      <c r="C27" s="115"/>
    </row>
    <row r="28" spans="3:3" s="114" customFormat="1" x14ac:dyDescent="0.35">
      <c r="C28" s="115"/>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8"/>
  <sheetViews>
    <sheetView workbookViewId="0">
      <selection activeCell="M24" sqref="M24"/>
    </sheetView>
  </sheetViews>
  <sheetFormatPr defaultColWidth="9.08984375" defaultRowHeight="14.5" x14ac:dyDescent="0.35"/>
  <cols>
    <col min="1" max="1" width="5.81640625" style="6" customWidth="1"/>
    <col min="2" max="16384" width="9.08984375" style="6"/>
  </cols>
  <sheetData>
    <row r="1" spans="1:1" s="4" customFormat="1" ht="21" x14ac:dyDescent="0.5">
      <c r="A1" s="4" t="s">
        <v>15</v>
      </c>
    </row>
    <row r="3" spans="1:1" x14ac:dyDescent="0.35">
      <c r="A3" s="143" t="s">
        <v>125</v>
      </c>
    </row>
    <row r="4" spans="1:1" x14ac:dyDescent="0.35">
      <c r="A4" s="143"/>
    </row>
    <row r="5" spans="1:1" x14ac:dyDescent="0.35">
      <c r="A5" s="143" t="s">
        <v>126</v>
      </c>
    </row>
    <row r="6" spans="1:1" x14ac:dyDescent="0.35">
      <c r="A6" s="5"/>
    </row>
    <row r="7" spans="1:1" x14ac:dyDescent="0.35">
      <c r="A7" s="38" t="s">
        <v>31</v>
      </c>
    </row>
    <row r="8" spans="1:1" x14ac:dyDescent="0.35">
      <c r="A8" s="38" t="s">
        <v>32</v>
      </c>
    </row>
    <row r="9" spans="1:1" x14ac:dyDescent="0.35">
      <c r="A9" s="5"/>
    </row>
    <row r="10" spans="1:1" x14ac:dyDescent="0.35">
      <c r="A10" s="38" t="s">
        <v>35</v>
      </c>
    </row>
    <row r="11" spans="1:1" x14ac:dyDescent="0.35">
      <c r="A11" s="38" t="s">
        <v>36</v>
      </c>
    </row>
    <row r="12" spans="1:1" x14ac:dyDescent="0.35">
      <c r="A12" s="5"/>
    </row>
    <row r="13" spans="1:1" x14ac:dyDescent="0.35">
      <c r="A13" s="143" t="s">
        <v>127</v>
      </c>
    </row>
    <row r="14" spans="1:1" x14ac:dyDescent="0.35">
      <c r="A14" s="143" t="s">
        <v>128</v>
      </c>
    </row>
    <row r="15" spans="1:1" x14ac:dyDescent="0.35">
      <c r="A15" s="5"/>
    </row>
    <row r="18" spans="1:1" x14ac:dyDescent="0.35">
      <c r="A18" s="5"/>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9E397-B4DD-4012-B839-5A6E08DCB161}">
  <dimension ref="A1:M53"/>
  <sheetViews>
    <sheetView zoomScaleNormal="100" workbookViewId="0">
      <selection activeCell="D7" sqref="D7"/>
    </sheetView>
  </sheetViews>
  <sheetFormatPr defaultColWidth="9.08984375" defaultRowHeight="14.5" x14ac:dyDescent="0.35"/>
  <cols>
    <col min="1" max="2" width="13" style="156" customWidth="1"/>
    <col min="3" max="3" width="11.26953125" style="156" customWidth="1"/>
    <col min="4" max="8" width="9.08984375" style="156"/>
    <col min="9" max="9" width="8.81640625" style="156" customWidth="1"/>
    <col min="10" max="10" width="9.08984375" style="156"/>
    <col min="11" max="11" width="10.7265625" style="156" customWidth="1"/>
    <col min="12" max="12" width="10.26953125" style="156" customWidth="1"/>
    <col min="13" max="13" width="9.08984375" style="156"/>
    <col min="14" max="14" width="9.81640625" style="156" customWidth="1"/>
    <col min="15" max="15" width="9.36328125" style="156" customWidth="1"/>
    <col min="16" max="16" width="8.7265625" style="156" customWidth="1"/>
    <col min="17" max="16384" width="9.08984375" style="156"/>
  </cols>
  <sheetData>
    <row r="1" spans="1:12" s="1" customFormat="1" ht="21" x14ac:dyDescent="0.5">
      <c r="A1" s="1" t="s">
        <v>141</v>
      </c>
      <c r="C1" s="155"/>
    </row>
    <row r="2" spans="1:12" x14ac:dyDescent="0.35">
      <c r="A2" s="156" t="s">
        <v>142</v>
      </c>
      <c r="C2" s="157">
        <v>0.03</v>
      </c>
      <c r="D2" s="156" t="s">
        <v>143</v>
      </c>
    </row>
    <row r="3" spans="1:12" x14ac:dyDescent="0.35">
      <c r="A3" s="156" t="s">
        <v>144</v>
      </c>
      <c r="C3" s="157">
        <v>0.02</v>
      </c>
      <c r="D3" s="156" t="s">
        <v>145</v>
      </c>
    </row>
    <row r="4" spans="1:12" x14ac:dyDescent="0.35">
      <c r="A4" s="156" t="s">
        <v>146</v>
      </c>
      <c r="C4" s="158">
        <v>30000</v>
      </c>
      <c r="D4" s="156" t="s">
        <v>145</v>
      </c>
    </row>
    <row r="5" spans="1:12" x14ac:dyDescent="0.35">
      <c r="A5" s="156" t="s">
        <v>147</v>
      </c>
      <c r="C5" s="157">
        <v>0.1</v>
      </c>
      <c r="D5" s="156" t="s">
        <v>148</v>
      </c>
      <c r="F5" s="157">
        <v>0.02</v>
      </c>
      <c r="G5" s="156" t="s">
        <v>149</v>
      </c>
    </row>
    <row r="6" spans="1:12" x14ac:dyDescent="0.35">
      <c r="A6" s="156" t="s">
        <v>59</v>
      </c>
      <c r="C6" s="157">
        <v>7.0000000000000007E-2</v>
      </c>
      <c r="D6" s="156" t="s">
        <v>145</v>
      </c>
    </row>
    <row r="9" spans="1:12" x14ac:dyDescent="0.35">
      <c r="B9" s="159" t="s">
        <v>150</v>
      </c>
      <c r="H9" s="159" t="s">
        <v>151</v>
      </c>
      <c r="K9" s="160"/>
    </row>
    <row r="10" spans="1:12" x14ac:dyDescent="0.35">
      <c r="B10" s="159"/>
      <c r="E10" s="161"/>
      <c r="F10" s="161"/>
      <c r="G10" s="161" t="s">
        <v>152</v>
      </c>
      <c r="H10" s="160"/>
      <c r="J10" s="161" t="s">
        <v>152</v>
      </c>
      <c r="K10" s="160" t="s">
        <v>153</v>
      </c>
      <c r="L10" s="161" t="s">
        <v>154</v>
      </c>
    </row>
    <row r="11" spans="1:12" x14ac:dyDescent="0.35">
      <c r="B11" s="160" t="s">
        <v>155</v>
      </c>
      <c r="E11" s="161" t="s">
        <v>153</v>
      </c>
      <c r="F11" s="161" t="s">
        <v>88</v>
      </c>
      <c r="G11" s="161" t="s">
        <v>156</v>
      </c>
      <c r="H11" s="160"/>
      <c r="I11" s="161" t="s">
        <v>88</v>
      </c>
      <c r="J11" s="161" t="s">
        <v>156</v>
      </c>
      <c r="K11" s="160" t="s">
        <v>152</v>
      </c>
      <c r="L11" s="161" t="s">
        <v>157</v>
      </c>
    </row>
    <row r="12" spans="1:12" ht="15" thickBot="1" x14ac:dyDescent="0.4">
      <c r="A12" s="162" t="s">
        <v>12</v>
      </c>
      <c r="B12" s="163" t="s">
        <v>158</v>
      </c>
      <c r="C12" s="162" t="s">
        <v>159</v>
      </c>
      <c r="D12" s="162" t="s">
        <v>160</v>
      </c>
      <c r="E12" s="162" t="s">
        <v>161</v>
      </c>
      <c r="F12" s="162" t="s">
        <v>162</v>
      </c>
      <c r="G12" s="162" t="s">
        <v>161</v>
      </c>
      <c r="H12" s="163" t="s">
        <v>163</v>
      </c>
      <c r="I12" s="162" t="s">
        <v>162</v>
      </c>
      <c r="J12" s="162" t="s">
        <v>164</v>
      </c>
      <c r="K12" s="163" t="s">
        <v>165</v>
      </c>
      <c r="L12" s="162" t="s">
        <v>166</v>
      </c>
    </row>
    <row r="13" spans="1:12" x14ac:dyDescent="0.35">
      <c r="A13" s="161">
        <v>1</v>
      </c>
      <c r="B13" s="160"/>
      <c r="C13" s="161"/>
      <c r="D13" s="161"/>
      <c r="E13" s="161"/>
      <c r="F13" s="161"/>
      <c r="G13" s="164"/>
      <c r="H13" s="160"/>
      <c r="I13" s="161"/>
      <c r="J13" s="161"/>
      <c r="K13" s="160"/>
      <c r="L13" s="161"/>
    </row>
    <row r="14" spans="1:12" x14ac:dyDescent="0.35">
      <c r="A14" s="161">
        <f>1+A13</f>
        <v>2</v>
      </c>
      <c r="B14" s="160"/>
      <c r="C14" s="161"/>
      <c r="D14" s="161"/>
      <c r="E14" s="161"/>
      <c r="F14" s="161"/>
      <c r="G14" s="164"/>
      <c r="H14" s="160"/>
      <c r="I14" s="161"/>
      <c r="J14" s="161"/>
      <c r="K14" s="160"/>
      <c r="L14" s="161"/>
    </row>
    <row r="15" spans="1:12" x14ac:dyDescent="0.35">
      <c r="A15" s="161">
        <f t="shared" ref="A15:A32" si="0">1+A14</f>
        <v>3</v>
      </c>
      <c r="B15" s="160"/>
      <c r="C15" s="161"/>
      <c r="D15" s="161"/>
      <c r="E15" s="161"/>
      <c r="F15" s="161"/>
      <c r="G15" s="164"/>
      <c r="H15" s="160"/>
      <c r="I15" s="161"/>
      <c r="J15" s="161"/>
      <c r="K15" s="160"/>
      <c r="L15" s="161"/>
    </row>
    <row r="16" spans="1:12" x14ac:dyDescent="0.35">
      <c r="A16" s="161">
        <f t="shared" si="0"/>
        <v>4</v>
      </c>
      <c r="B16" s="160"/>
      <c r="C16" s="161"/>
      <c r="D16" s="161"/>
      <c r="E16" s="161"/>
      <c r="F16" s="161"/>
      <c r="G16" s="164"/>
      <c r="H16" s="160"/>
      <c r="I16" s="161"/>
      <c r="J16" s="161"/>
      <c r="K16" s="160"/>
      <c r="L16" s="161"/>
    </row>
    <row r="17" spans="1:13" x14ac:dyDescent="0.35">
      <c r="A17" s="161">
        <f t="shared" si="0"/>
        <v>5</v>
      </c>
      <c r="B17" s="160"/>
      <c r="C17" s="161"/>
      <c r="D17" s="161"/>
      <c r="E17" s="161"/>
      <c r="F17" s="161"/>
      <c r="G17" s="164"/>
      <c r="H17" s="160"/>
      <c r="I17" s="161"/>
      <c r="J17" s="161"/>
      <c r="K17" s="160"/>
      <c r="L17" s="161"/>
    </row>
    <row r="18" spans="1:13" x14ac:dyDescent="0.35">
      <c r="A18" s="161">
        <f t="shared" si="0"/>
        <v>6</v>
      </c>
      <c r="B18" s="160"/>
      <c r="C18" s="161"/>
      <c r="D18" s="161"/>
      <c r="E18" s="161"/>
      <c r="F18" s="161"/>
      <c r="G18" s="164"/>
      <c r="H18" s="160"/>
      <c r="I18" s="161"/>
      <c r="J18" s="161"/>
      <c r="K18" s="160"/>
      <c r="L18" s="161"/>
    </row>
    <row r="19" spans="1:13" x14ac:dyDescent="0.35">
      <c r="A19" s="161">
        <f t="shared" si="0"/>
        <v>7</v>
      </c>
      <c r="B19" s="160"/>
      <c r="C19" s="161"/>
      <c r="D19" s="161"/>
      <c r="E19" s="161"/>
      <c r="F19" s="161"/>
      <c r="G19" s="164"/>
      <c r="H19" s="160"/>
      <c r="I19" s="161"/>
      <c r="J19" s="161"/>
      <c r="K19" s="160"/>
      <c r="L19" s="161"/>
    </row>
    <row r="20" spans="1:13" x14ac:dyDescent="0.35">
      <c r="A20" s="161">
        <f t="shared" si="0"/>
        <v>8</v>
      </c>
      <c r="B20" s="160"/>
      <c r="C20" s="161"/>
      <c r="D20" s="161"/>
      <c r="E20" s="161"/>
      <c r="F20" s="161"/>
      <c r="G20" s="164"/>
      <c r="H20" s="160"/>
      <c r="I20" s="161"/>
      <c r="J20" s="161"/>
      <c r="K20" s="160"/>
      <c r="L20" s="161"/>
    </row>
    <row r="21" spans="1:13" x14ac:dyDescent="0.35">
      <c r="A21" s="161">
        <f t="shared" si="0"/>
        <v>9</v>
      </c>
      <c r="B21" s="160"/>
      <c r="C21" s="161"/>
      <c r="D21" s="161"/>
      <c r="E21" s="161"/>
      <c r="F21" s="161"/>
      <c r="G21" s="164"/>
      <c r="H21" s="160"/>
      <c r="I21" s="161"/>
      <c r="J21" s="161"/>
      <c r="K21" s="160"/>
      <c r="L21" s="161"/>
    </row>
    <row r="22" spans="1:13" x14ac:dyDescent="0.35">
      <c r="A22" s="161">
        <f t="shared" si="0"/>
        <v>10</v>
      </c>
      <c r="B22" s="160"/>
      <c r="C22" s="161"/>
      <c r="D22" s="161"/>
      <c r="E22" s="161"/>
      <c r="F22" s="161"/>
      <c r="G22" s="164"/>
      <c r="H22" s="160"/>
      <c r="I22" s="161"/>
      <c r="J22" s="161"/>
      <c r="K22" s="160"/>
      <c r="L22" s="161"/>
    </row>
    <row r="23" spans="1:13" x14ac:dyDescent="0.35">
      <c r="A23" s="161">
        <f t="shared" si="0"/>
        <v>11</v>
      </c>
      <c r="B23" s="160"/>
      <c r="C23" s="161"/>
      <c r="D23" s="161"/>
      <c r="E23" s="161"/>
      <c r="F23" s="161"/>
      <c r="G23" s="164"/>
      <c r="H23" s="160"/>
      <c r="I23" s="161"/>
      <c r="J23" s="161"/>
      <c r="K23" s="160"/>
      <c r="L23" s="161"/>
    </row>
    <row r="24" spans="1:13" x14ac:dyDescent="0.35">
      <c r="A24" s="161">
        <f t="shared" si="0"/>
        <v>12</v>
      </c>
      <c r="B24" s="160"/>
      <c r="C24" s="161"/>
      <c r="D24" s="161"/>
      <c r="E24" s="161"/>
      <c r="F24" s="161"/>
      <c r="G24" s="164"/>
      <c r="H24" s="160"/>
      <c r="I24" s="161"/>
      <c r="J24" s="161"/>
      <c r="K24" s="160"/>
      <c r="L24" s="161"/>
      <c r="M24" s="165"/>
    </row>
    <row r="25" spans="1:13" x14ac:dyDescent="0.35">
      <c r="A25" s="161">
        <f t="shared" si="0"/>
        <v>13</v>
      </c>
      <c r="B25" s="160"/>
      <c r="C25" s="161"/>
      <c r="D25" s="161"/>
      <c r="E25" s="161"/>
      <c r="F25" s="161"/>
      <c r="G25" s="164"/>
      <c r="H25" s="160"/>
      <c r="I25" s="161"/>
      <c r="J25" s="161"/>
      <c r="K25" s="160"/>
      <c r="L25" s="161"/>
    </row>
    <row r="26" spans="1:13" x14ac:dyDescent="0.35">
      <c r="A26" s="161">
        <f t="shared" si="0"/>
        <v>14</v>
      </c>
      <c r="B26" s="160"/>
      <c r="C26" s="161"/>
      <c r="D26" s="161"/>
      <c r="E26" s="161"/>
      <c r="F26" s="161"/>
      <c r="G26" s="164"/>
      <c r="H26" s="160"/>
      <c r="I26" s="161"/>
      <c r="J26" s="161"/>
      <c r="K26" s="160"/>
      <c r="L26" s="161"/>
    </row>
    <row r="27" spans="1:13" x14ac:dyDescent="0.35">
      <c r="A27" s="161">
        <f t="shared" si="0"/>
        <v>15</v>
      </c>
      <c r="B27" s="160"/>
      <c r="C27" s="161"/>
      <c r="D27" s="161"/>
      <c r="E27" s="161"/>
      <c r="F27" s="161"/>
      <c r="G27" s="164"/>
      <c r="H27" s="160"/>
      <c r="I27" s="161"/>
      <c r="J27" s="161"/>
      <c r="K27" s="160"/>
      <c r="L27" s="161"/>
    </row>
    <row r="28" spans="1:13" x14ac:dyDescent="0.35">
      <c r="A28" s="161">
        <f t="shared" si="0"/>
        <v>16</v>
      </c>
      <c r="B28" s="160"/>
      <c r="C28" s="161"/>
      <c r="D28" s="161"/>
      <c r="E28" s="161"/>
      <c r="F28" s="161"/>
      <c r="G28" s="164"/>
      <c r="H28" s="160"/>
      <c r="I28" s="161"/>
      <c r="J28" s="161"/>
      <c r="K28" s="160"/>
      <c r="L28" s="161"/>
    </row>
    <row r="29" spans="1:13" x14ac:dyDescent="0.35">
      <c r="A29" s="161">
        <f t="shared" si="0"/>
        <v>17</v>
      </c>
      <c r="B29" s="160"/>
      <c r="C29" s="161"/>
      <c r="D29" s="161"/>
      <c r="E29" s="161"/>
      <c r="F29" s="161"/>
      <c r="G29" s="164"/>
      <c r="H29" s="160"/>
      <c r="I29" s="161"/>
      <c r="J29" s="161"/>
      <c r="K29" s="160"/>
      <c r="L29" s="161"/>
    </row>
    <row r="30" spans="1:13" x14ac:dyDescent="0.35">
      <c r="A30" s="161">
        <f t="shared" si="0"/>
        <v>18</v>
      </c>
      <c r="B30" s="160"/>
      <c r="C30" s="161"/>
      <c r="D30" s="161"/>
      <c r="E30" s="161"/>
      <c r="F30" s="161"/>
      <c r="G30" s="164"/>
      <c r="H30" s="160"/>
      <c r="I30" s="161"/>
      <c r="J30" s="161"/>
      <c r="K30" s="160"/>
      <c r="L30" s="161"/>
    </row>
    <row r="31" spans="1:13" x14ac:dyDescent="0.35">
      <c r="A31" s="161">
        <f t="shared" si="0"/>
        <v>19</v>
      </c>
      <c r="B31" s="160"/>
      <c r="C31" s="161"/>
      <c r="D31" s="161"/>
      <c r="E31" s="161"/>
      <c r="F31" s="161"/>
      <c r="G31" s="164"/>
      <c r="H31" s="160"/>
      <c r="I31" s="161"/>
      <c r="J31" s="161"/>
      <c r="K31" s="160"/>
      <c r="L31" s="161"/>
    </row>
    <row r="32" spans="1:13" x14ac:dyDescent="0.35">
      <c r="A32" s="161">
        <f t="shared" si="0"/>
        <v>20</v>
      </c>
      <c r="B32" s="160"/>
      <c r="C32" s="161"/>
      <c r="D32" s="161"/>
      <c r="E32" s="161"/>
      <c r="F32" s="161"/>
      <c r="G32" s="164"/>
      <c r="H32" s="160"/>
      <c r="I32" s="161"/>
      <c r="J32" s="161"/>
      <c r="K32" s="160"/>
    </row>
    <row r="33" spans="1:12" x14ac:dyDescent="0.35">
      <c r="A33" s="161"/>
      <c r="B33" s="161"/>
      <c r="C33" s="161"/>
      <c r="D33" s="161"/>
      <c r="E33" s="161"/>
      <c r="F33" s="161"/>
      <c r="G33" s="161"/>
      <c r="I33" s="161"/>
      <c r="J33" s="161"/>
      <c r="K33" s="161"/>
      <c r="L33" s="161"/>
    </row>
    <row r="34" spans="1:12" x14ac:dyDescent="0.35">
      <c r="A34" s="161"/>
      <c r="B34" s="161"/>
      <c r="C34" s="161"/>
      <c r="D34" s="161"/>
      <c r="E34" s="161"/>
      <c r="F34" s="161"/>
      <c r="G34" s="161"/>
      <c r="H34" s="161"/>
      <c r="I34" s="161"/>
      <c r="J34" s="161"/>
      <c r="K34" s="161"/>
      <c r="L34" s="161"/>
    </row>
    <row r="35" spans="1:12" x14ac:dyDescent="0.35">
      <c r="A35" s="161"/>
      <c r="B35" s="161"/>
      <c r="C35" s="161"/>
      <c r="D35" s="161"/>
      <c r="E35" s="161"/>
      <c r="F35" s="161"/>
      <c r="G35" s="161"/>
      <c r="H35" s="161"/>
      <c r="I35" s="161"/>
      <c r="J35" s="161"/>
      <c r="K35" s="161"/>
      <c r="L35" s="161"/>
    </row>
    <row r="36" spans="1:12" x14ac:dyDescent="0.35">
      <c r="A36" s="161"/>
      <c r="B36" s="161"/>
      <c r="C36" s="161"/>
      <c r="D36" s="161"/>
      <c r="E36" s="161"/>
      <c r="F36" s="161"/>
      <c r="G36" s="161"/>
      <c r="H36" s="161"/>
      <c r="I36" s="161"/>
      <c r="J36" s="161"/>
      <c r="K36" s="161"/>
      <c r="L36" s="161"/>
    </row>
    <row r="37" spans="1:12" x14ac:dyDescent="0.35">
      <c r="A37" s="161"/>
      <c r="B37" s="161"/>
      <c r="C37" s="161"/>
      <c r="D37" s="161"/>
      <c r="E37" s="161"/>
      <c r="F37" s="161"/>
      <c r="G37" s="161"/>
      <c r="H37" s="161"/>
      <c r="I37" s="161"/>
      <c r="J37" s="161"/>
      <c r="K37" s="161"/>
      <c r="L37" s="161"/>
    </row>
    <row r="38" spans="1:12" x14ac:dyDescent="0.35">
      <c r="A38" s="161"/>
      <c r="B38" s="161"/>
      <c r="C38" s="161"/>
      <c r="D38" s="161"/>
      <c r="E38" s="161"/>
      <c r="F38" s="161"/>
      <c r="G38" s="161"/>
      <c r="H38" s="161"/>
      <c r="I38" s="161"/>
      <c r="J38" s="161"/>
      <c r="K38" s="161"/>
      <c r="L38" s="161"/>
    </row>
    <row r="39" spans="1:12" x14ac:dyDescent="0.35">
      <c r="A39" s="161"/>
      <c r="B39" s="161"/>
      <c r="C39" s="161"/>
    </row>
    <row r="40" spans="1:12" x14ac:dyDescent="0.35">
      <c r="A40" s="161"/>
      <c r="B40" s="161"/>
    </row>
    <row r="44" spans="1:12" x14ac:dyDescent="0.35">
      <c r="C44" s="166"/>
    </row>
    <row r="45" spans="1:12" x14ac:dyDescent="0.35">
      <c r="C45" s="166"/>
    </row>
    <row r="46" spans="1:12" x14ac:dyDescent="0.35">
      <c r="C46" s="166"/>
    </row>
    <row r="47" spans="1:12" x14ac:dyDescent="0.35">
      <c r="C47" s="166"/>
    </row>
    <row r="48" spans="1:12" x14ac:dyDescent="0.35">
      <c r="C48" s="166"/>
    </row>
    <row r="49" spans="3:3" x14ac:dyDescent="0.35">
      <c r="C49" s="166"/>
    </row>
    <row r="50" spans="3:3" x14ac:dyDescent="0.35">
      <c r="C50" s="166"/>
    </row>
    <row r="51" spans="3:3" x14ac:dyDescent="0.35">
      <c r="C51" s="166"/>
    </row>
    <row r="52" spans="3:3" x14ac:dyDescent="0.35">
      <c r="C52" s="166"/>
    </row>
    <row r="53" spans="3:3" x14ac:dyDescent="0.35">
      <c r="C53" s="166"/>
    </row>
  </sheetData>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44EAC-B21A-4830-8A29-355B27B7C5DD}">
  <dimension ref="A1:P53"/>
  <sheetViews>
    <sheetView zoomScaleNormal="100" workbookViewId="0">
      <pane ySplit="12" topLeftCell="A33" activePane="bottomLeft" state="frozen"/>
      <selection pane="bottomLeft" activeCell="C46" sqref="C46:O47"/>
    </sheetView>
  </sheetViews>
  <sheetFormatPr defaultColWidth="9.08984375" defaultRowHeight="14.5" x14ac:dyDescent="0.35"/>
  <cols>
    <col min="1" max="2" width="13" style="156" customWidth="1"/>
    <col min="3" max="3" width="11.26953125" style="156" customWidth="1"/>
    <col min="4" max="8" width="9.08984375" style="156"/>
    <col min="9" max="9" width="8.81640625" style="156" customWidth="1"/>
    <col min="10" max="10" width="9.08984375" style="156"/>
    <col min="11" max="11" width="10.7265625" style="156" customWidth="1"/>
    <col min="12" max="12" width="10.26953125" style="156" customWidth="1"/>
    <col min="13" max="13" width="8.7265625" style="156" customWidth="1"/>
    <col min="14" max="16384" width="9.08984375" style="156"/>
  </cols>
  <sheetData>
    <row r="1" spans="1:12" s="1" customFormat="1" ht="21" x14ac:dyDescent="0.5">
      <c r="A1" s="1" t="s">
        <v>167</v>
      </c>
      <c r="C1" s="155"/>
    </row>
    <row r="2" spans="1:12" x14ac:dyDescent="0.35">
      <c r="A2" s="156" t="s">
        <v>142</v>
      </c>
      <c r="C2" s="157">
        <v>0.03</v>
      </c>
      <c r="D2" s="156" t="s">
        <v>143</v>
      </c>
    </row>
    <row r="3" spans="1:12" x14ac:dyDescent="0.35">
      <c r="A3" s="156" t="s">
        <v>144</v>
      </c>
      <c r="C3" s="157">
        <v>0.02</v>
      </c>
      <c r="D3" s="156" t="s">
        <v>145</v>
      </c>
    </row>
    <row r="4" spans="1:12" x14ac:dyDescent="0.35">
      <c r="A4" s="156" t="s">
        <v>146</v>
      </c>
      <c r="C4" s="158">
        <v>30000</v>
      </c>
      <c r="D4" s="156" t="s">
        <v>145</v>
      </c>
    </row>
    <row r="5" spans="1:12" x14ac:dyDescent="0.35">
      <c r="A5" s="156" t="s">
        <v>147</v>
      </c>
      <c r="C5" s="157">
        <v>0.1</v>
      </c>
      <c r="D5" s="156" t="s">
        <v>148</v>
      </c>
      <c r="F5" s="157">
        <v>0.02</v>
      </c>
      <c r="G5" s="156" t="s">
        <v>149</v>
      </c>
    </row>
    <row r="6" spans="1:12" x14ac:dyDescent="0.35">
      <c r="A6" s="156" t="s">
        <v>59</v>
      </c>
      <c r="C6" s="157">
        <v>0.09</v>
      </c>
      <c r="D6" s="156" t="s">
        <v>145</v>
      </c>
    </row>
    <row r="9" spans="1:12" x14ac:dyDescent="0.35">
      <c r="B9" s="159" t="s">
        <v>150</v>
      </c>
      <c r="H9" s="159" t="s">
        <v>151</v>
      </c>
      <c r="K9" s="160"/>
    </row>
    <row r="10" spans="1:12" x14ac:dyDescent="0.35">
      <c r="B10" s="159"/>
      <c r="E10" s="161"/>
      <c r="F10" s="161"/>
      <c r="G10" s="161" t="s">
        <v>152</v>
      </c>
      <c r="H10" s="160"/>
      <c r="J10" s="161" t="s">
        <v>152</v>
      </c>
      <c r="K10" s="160" t="s">
        <v>153</v>
      </c>
      <c r="L10" s="161" t="s">
        <v>154</v>
      </c>
    </row>
    <row r="11" spans="1:12" x14ac:dyDescent="0.35">
      <c r="B11" s="160" t="s">
        <v>155</v>
      </c>
      <c r="E11" s="161" t="s">
        <v>153</v>
      </c>
      <c r="F11" s="161" t="s">
        <v>88</v>
      </c>
      <c r="G11" s="161" t="s">
        <v>156</v>
      </c>
      <c r="H11" s="160"/>
      <c r="I11" s="161" t="s">
        <v>88</v>
      </c>
      <c r="J11" s="161" t="s">
        <v>156</v>
      </c>
      <c r="K11" s="160" t="s">
        <v>152</v>
      </c>
      <c r="L11" s="161" t="s">
        <v>157</v>
      </c>
    </row>
    <row r="12" spans="1:12" ht="15" thickBot="1" x14ac:dyDescent="0.4">
      <c r="A12" s="162" t="s">
        <v>12</v>
      </c>
      <c r="B12" s="163" t="s">
        <v>158</v>
      </c>
      <c r="C12" s="162" t="s">
        <v>159</v>
      </c>
      <c r="D12" s="162" t="s">
        <v>160</v>
      </c>
      <c r="E12" s="162" t="s">
        <v>161</v>
      </c>
      <c r="F12" s="162" t="s">
        <v>162</v>
      </c>
      <c r="G12" s="162" t="s">
        <v>161</v>
      </c>
      <c r="H12" s="163" t="s">
        <v>163</v>
      </c>
      <c r="I12" s="162" t="s">
        <v>162</v>
      </c>
      <c r="J12" s="162" t="s">
        <v>164</v>
      </c>
      <c r="K12" s="163" t="s">
        <v>165</v>
      </c>
      <c r="L12" s="162" t="s">
        <v>166</v>
      </c>
    </row>
    <row r="13" spans="1:12" x14ac:dyDescent="0.35">
      <c r="A13" s="161">
        <v>1</v>
      </c>
      <c r="B13" s="167"/>
      <c r="C13" s="165"/>
      <c r="D13" s="165"/>
      <c r="E13" s="165"/>
      <c r="F13" s="161"/>
      <c r="G13" s="168"/>
      <c r="H13" s="167"/>
      <c r="I13" s="161"/>
      <c r="J13" s="165"/>
      <c r="K13" s="167"/>
      <c r="L13" s="165"/>
    </row>
    <row r="14" spans="1:12" x14ac:dyDescent="0.35">
      <c r="A14" s="161">
        <f>1+A13</f>
        <v>2</v>
      </c>
      <c r="B14" s="167"/>
      <c r="C14" s="165"/>
      <c r="D14" s="165"/>
      <c r="E14" s="165"/>
      <c r="F14" s="161"/>
      <c r="G14" s="168"/>
      <c r="H14" s="167"/>
      <c r="I14" s="161"/>
      <c r="J14" s="165"/>
      <c r="K14" s="167"/>
      <c r="L14" s="165"/>
    </row>
    <row r="15" spans="1:12" x14ac:dyDescent="0.35">
      <c r="A15" s="161">
        <f t="shared" ref="A15:A32" si="0">1+A14</f>
        <v>3</v>
      </c>
      <c r="B15" s="167"/>
      <c r="C15" s="165"/>
      <c r="D15" s="165"/>
      <c r="E15" s="165"/>
      <c r="F15" s="161"/>
      <c r="G15" s="168"/>
      <c r="H15" s="167"/>
      <c r="I15" s="161"/>
      <c r="J15" s="165"/>
      <c r="K15" s="167"/>
      <c r="L15" s="165"/>
    </row>
    <row r="16" spans="1:12" x14ac:dyDescent="0.35">
      <c r="A16" s="161">
        <f t="shared" si="0"/>
        <v>4</v>
      </c>
      <c r="B16" s="167"/>
      <c r="C16" s="165"/>
      <c r="D16" s="165"/>
      <c r="E16" s="165"/>
      <c r="F16" s="161"/>
      <c r="G16" s="168"/>
      <c r="H16" s="167"/>
      <c r="I16" s="161"/>
      <c r="J16" s="165"/>
      <c r="K16" s="167"/>
      <c r="L16" s="165"/>
    </row>
    <row r="17" spans="1:12" x14ac:dyDescent="0.35">
      <c r="A17" s="161">
        <f t="shared" si="0"/>
        <v>5</v>
      </c>
      <c r="B17" s="167"/>
      <c r="C17" s="165"/>
      <c r="D17" s="165"/>
      <c r="E17" s="165"/>
      <c r="F17" s="161"/>
      <c r="G17" s="168"/>
      <c r="H17" s="167"/>
      <c r="I17" s="161"/>
      <c r="J17" s="165"/>
      <c r="K17" s="167"/>
      <c r="L17" s="165"/>
    </row>
    <row r="18" spans="1:12" x14ac:dyDescent="0.35">
      <c r="A18" s="161">
        <f t="shared" si="0"/>
        <v>6</v>
      </c>
      <c r="B18" s="167"/>
      <c r="C18" s="165"/>
      <c r="D18" s="165"/>
      <c r="E18" s="165"/>
      <c r="F18" s="161"/>
      <c r="G18" s="168"/>
      <c r="H18" s="167"/>
      <c r="I18" s="161"/>
      <c r="J18" s="165"/>
      <c r="K18" s="167"/>
      <c r="L18" s="165"/>
    </row>
    <row r="19" spans="1:12" x14ac:dyDescent="0.35">
      <c r="A19" s="161">
        <f t="shared" si="0"/>
        <v>7</v>
      </c>
      <c r="B19" s="167"/>
      <c r="C19" s="165"/>
      <c r="D19" s="165"/>
      <c r="E19" s="165"/>
      <c r="F19" s="161"/>
      <c r="G19" s="168"/>
      <c r="H19" s="167"/>
      <c r="I19" s="161"/>
      <c r="J19" s="165"/>
      <c r="K19" s="167"/>
      <c r="L19" s="165"/>
    </row>
    <row r="20" spans="1:12" x14ac:dyDescent="0.35">
      <c r="A20" s="161">
        <f t="shared" si="0"/>
        <v>8</v>
      </c>
      <c r="B20" s="167"/>
      <c r="C20" s="165"/>
      <c r="D20" s="165"/>
      <c r="E20" s="165"/>
      <c r="F20" s="161"/>
      <c r="G20" s="168"/>
      <c r="H20" s="167"/>
      <c r="I20" s="161"/>
      <c r="J20" s="165"/>
      <c r="K20" s="167"/>
      <c r="L20" s="165"/>
    </row>
    <row r="21" spans="1:12" x14ac:dyDescent="0.35">
      <c r="A21" s="161">
        <f t="shared" si="0"/>
        <v>9</v>
      </c>
      <c r="B21" s="167"/>
      <c r="C21" s="165"/>
      <c r="D21" s="165"/>
      <c r="E21" s="165"/>
      <c r="F21" s="161"/>
      <c r="G21" s="168"/>
      <c r="H21" s="167"/>
      <c r="I21" s="161"/>
      <c r="J21" s="165"/>
      <c r="K21" s="167"/>
      <c r="L21" s="165"/>
    </row>
    <row r="22" spans="1:12" x14ac:dyDescent="0.35">
      <c r="A22" s="161">
        <f t="shared" si="0"/>
        <v>10</v>
      </c>
      <c r="B22" s="167"/>
      <c r="C22" s="165"/>
      <c r="D22" s="165"/>
      <c r="E22" s="165"/>
      <c r="F22" s="161"/>
      <c r="G22" s="168"/>
      <c r="H22" s="167"/>
      <c r="I22" s="161"/>
      <c r="J22" s="165"/>
      <c r="K22" s="167"/>
      <c r="L22" s="165"/>
    </row>
    <row r="23" spans="1:12" x14ac:dyDescent="0.35">
      <c r="A23" s="161">
        <f t="shared" si="0"/>
        <v>11</v>
      </c>
      <c r="B23" s="167"/>
      <c r="C23" s="165"/>
      <c r="D23" s="165"/>
      <c r="E23" s="165"/>
      <c r="F23" s="161"/>
      <c r="G23" s="168"/>
      <c r="H23" s="167"/>
      <c r="I23" s="161"/>
      <c r="J23" s="165"/>
      <c r="K23" s="167"/>
      <c r="L23" s="165"/>
    </row>
    <row r="24" spans="1:12" x14ac:dyDescent="0.35">
      <c r="A24" s="161">
        <f t="shared" si="0"/>
        <v>12</v>
      </c>
      <c r="B24" s="167"/>
      <c r="C24" s="165"/>
      <c r="D24" s="165"/>
      <c r="E24" s="165"/>
      <c r="F24" s="161"/>
      <c r="G24" s="168"/>
      <c r="H24" s="167"/>
      <c r="I24" s="161"/>
      <c r="J24" s="165"/>
      <c r="K24" s="167"/>
      <c r="L24" s="165"/>
    </row>
    <row r="25" spans="1:12" x14ac:dyDescent="0.35">
      <c r="A25" s="161">
        <f t="shared" si="0"/>
        <v>13</v>
      </c>
      <c r="B25" s="167"/>
      <c r="C25" s="165"/>
      <c r="D25" s="165"/>
      <c r="E25" s="165"/>
      <c r="F25" s="161"/>
      <c r="G25" s="168"/>
      <c r="H25" s="167"/>
      <c r="I25" s="161"/>
      <c r="J25" s="165"/>
      <c r="K25" s="167"/>
      <c r="L25" s="165"/>
    </row>
    <row r="26" spans="1:12" x14ac:dyDescent="0.35">
      <c r="A26" s="161">
        <f t="shared" si="0"/>
        <v>14</v>
      </c>
      <c r="B26" s="167"/>
      <c r="C26" s="165"/>
      <c r="D26" s="165"/>
      <c r="E26" s="165"/>
      <c r="F26" s="161"/>
      <c r="G26" s="168"/>
      <c r="H26" s="167"/>
      <c r="I26" s="161"/>
      <c r="J26" s="165"/>
      <c r="K26" s="167"/>
      <c r="L26" s="165"/>
    </row>
    <row r="27" spans="1:12" x14ac:dyDescent="0.35">
      <c r="A27" s="161">
        <f t="shared" si="0"/>
        <v>15</v>
      </c>
      <c r="B27" s="167"/>
      <c r="C27" s="165"/>
      <c r="D27" s="165"/>
      <c r="E27" s="165"/>
      <c r="F27" s="161"/>
      <c r="G27" s="168"/>
      <c r="H27" s="167"/>
      <c r="I27" s="161"/>
      <c r="J27" s="165"/>
      <c r="K27" s="167"/>
      <c r="L27" s="165"/>
    </row>
    <row r="28" spans="1:12" x14ac:dyDescent="0.35">
      <c r="A28" s="161">
        <f t="shared" si="0"/>
        <v>16</v>
      </c>
      <c r="B28" s="167"/>
      <c r="C28" s="165"/>
      <c r="D28" s="165"/>
      <c r="E28" s="165"/>
      <c r="F28" s="161"/>
      <c r="G28" s="168"/>
      <c r="H28" s="167"/>
      <c r="I28" s="161"/>
      <c r="J28" s="165"/>
      <c r="K28" s="167"/>
      <c r="L28" s="165"/>
    </row>
    <row r="29" spans="1:12" ht="15" thickBot="1" x14ac:dyDescent="0.4">
      <c r="A29" s="162">
        <f t="shared" si="0"/>
        <v>17</v>
      </c>
      <c r="B29" s="169"/>
      <c r="C29" s="170"/>
      <c r="D29" s="170"/>
      <c r="E29" s="170"/>
      <c r="F29" s="162"/>
      <c r="G29" s="171"/>
      <c r="H29" s="169"/>
      <c r="I29" s="162"/>
      <c r="J29" s="172"/>
      <c r="K29" s="169"/>
      <c r="L29" s="170"/>
    </row>
    <row r="30" spans="1:12" x14ac:dyDescent="0.35">
      <c r="A30" s="161">
        <f t="shared" si="0"/>
        <v>18</v>
      </c>
      <c r="B30" s="167"/>
      <c r="C30" s="165"/>
      <c r="D30" s="165"/>
      <c r="E30" s="165"/>
      <c r="F30" s="161"/>
      <c r="G30" s="168"/>
      <c r="H30" s="167"/>
      <c r="I30" s="161"/>
      <c r="J30" s="165"/>
      <c r="K30" s="167"/>
      <c r="L30" s="165"/>
    </row>
    <row r="31" spans="1:12" x14ac:dyDescent="0.35">
      <c r="A31" s="161">
        <f t="shared" si="0"/>
        <v>19</v>
      </c>
      <c r="B31" s="167"/>
      <c r="C31" s="165"/>
      <c r="D31" s="165"/>
      <c r="E31" s="165"/>
      <c r="F31" s="161"/>
      <c r="G31" s="168"/>
      <c r="H31" s="167"/>
      <c r="I31" s="161"/>
      <c r="J31" s="165"/>
      <c r="K31" s="167"/>
      <c r="L31" s="165"/>
    </row>
    <row r="32" spans="1:12" x14ac:dyDescent="0.35">
      <c r="A32" s="161">
        <f t="shared" si="0"/>
        <v>20</v>
      </c>
      <c r="B32" s="167"/>
      <c r="C32" s="165"/>
      <c r="D32" s="165"/>
      <c r="E32" s="165"/>
      <c r="F32" s="161"/>
      <c r="G32" s="168"/>
      <c r="H32" s="167"/>
      <c r="I32" s="161"/>
      <c r="J32" s="165"/>
      <c r="K32" s="167"/>
    </row>
    <row r="33" spans="1:16" x14ac:dyDescent="0.35">
      <c r="A33" s="161"/>
      <c r="B33" s="165"/>
      <c r="C33" s="165"/>
      <c r="D33" s="165"/>
      <c r="E33" s="165"/>
      <c r="F33" s="165"/>
      <c r="G33" s="165"/>
      <c r="I33" s="165"/>
      <c r="J33" s="165"/>
      <c r="K33" s="165"/>
      <c r="L33" s="165"/>
    </row>
    <row r="34" spans="1:16" x14ac:dyDescent="0.35">
      <c r="A34" s="161"/>
      <c r="B34" s="165"/>
      <c r="C34" s="165"/>
      <c r="D34" s="165"/>
      <c r="E34" s="165"/>
      <c r="F34" s="165"/>
      <c r="G34" s="165"/>
      <c r="H34" s="165"/>
      <c r="I34" s="165"/>
      <c r="J34" s="165"/>
      <c r="K34" s="165"/>
      <c r="L34" s="165"/>
    </row>
    <row r="35" spans="1:16" x14ac:dyDescent="0.35">
      <c r="A35" s="161"/>
      <c r="B35" s="180" t="s">
        <v>182</v>
      </c>
      <c r="C35" s="181"/>
      <c r="D35" s="181"/>
      <c r="E35" s="181"/>
      <c r="F35" s="181"/>
      <c r="G35" s="181"/>
      <c r="H35" s="181"/>
      <c r="I35" s="181"/>
      <c r="J35" s="181"/>
      <c r="K35" s="181"/>
      <c r="L35" s="181"/>
      <c r="M35" s="181"/>
      <c r="N35" s="182"/>
      <c r="O35" s="182"/>
      <c r="P35" s="183"/>
    </row>
    <row r="36" spans="1:16" x14ac:dyDescent="0.35">
      <c r="A36" s="161"/>
      <c r="B36" s="184" t="s">
        <v>126</v>
      </c>
      <c r="C36" s="185"/>
      <c r="D36" s="186"/>
      <c r="E36" s="186"/>
      <c r="F36" s="186"/>
      <c r="G36" s="186"/>
      <c r="H36" s="186"/>
      <c r="I36" s="186"/>
      <c r="J36" s="186"/>
      <c r="K36" s="186"/>
      <c r="L36" s="186"/>
      <c r="M36" s="186"/>
      <c r="N36" s="186"/>
      <c r="O36" s="187"/>
      <c r="P36" s="188"/>
    </row>
    <row r="37" spans="1:16" x14ac:dyDescent="0.35">
      <c r="A37" s="161"/>
      <c r="B37" s="184"/>
      <c r="C37" s="185"/>
      <c r="D37" s="186"/>
      <c r="E37" s="186"/>
      <c r="F37" s="186"/>
      <c r="G37" s="186"/>
      <c r="H37" s="186"/>
      <c r="I37" s="186"/>
      <c r="J37" s="186"/>
      <c r="K37" s="186"/>
      <c r="L37" s="186"/>
      <c r="M37" s="186"/>
      <c r="N37" s="186"/>
      <c r="O37" s="187"/>
      <c r="P37" s="188"/>
    </row>
    <row r="38" spans="1:16" x14ac:dyDescent="0.35">
      <c r="A38" s="161"/>
      <c r="B38" s="184"/>
      <c r="C38" s="6"/>
      <c r="D38" s="189"/>
      <c r="E38" s="189"/>
      <c r="F38" s="189"/>
      <c r="G38" s="189"/>
      <c r="H38" s="189"/>
      <c r="I38" s="189"/>
      <c r="J38" s="189"/>
      <c r="K38" s="189"/>
      <c r="L38" s="189"/>
      <c r="M38" s="189"/>
      <c r="N38" s="6"/>
      <c r="O38" s="187"/>
      <c r="P38" s="188"/>
    </row>
    <row r="39" spans="1:16" x14ac:dyDescent="0.35">
      <c r="A39" s="161"/>
      <c r="B39" s="184"/>
      <c r="C39" s="190"/>
      <c r="D39" s="189"/>
      <c r="E39" s="6"/>
      <c r="F39" s="6"/>
      <c r="G39" s="6"/>
      <c r="H39" s="6"/>
      <c r="I39" s="6"/>
      <c r="J39" s="6"/>
      <c r="K39" s="6"/>
      <c r="L39" s="6"/>
      <c r="M39" s="6"/>
      <c r="N39" s="6"/>
      <c r="O39" s="187"/>
      <c r="P39" s="188"/>
    </row>
    <row r="40" spans="1:16" x14ac:dyDescent="0.35">
      <c r="A40" s="161"/>
      <c r="B40" s="184"/>
      <c r="C40" s="190"/>
      <c r="D40" s="189"/>
      <c r="E40" s="6"/>
      <c r="F40" s="6"/>
      <c r="G40" s="6"/>
      <c r="H40" s="6"/>
      <c r="I40" s="6"/>
      <c r="J40" s="6"/>
      <c r="K40" s="6"/>
      <c r="L40" s="6"/>
      <c r="M40" s="6"/>
      <c r="N40" s="6"/>
      <c r="O40" s="187"/>
      <c r="P40" s="188"/>
    </row>
    <row r="41" spans="1:16" x14ac:dyDescent="0.35">
      <c r="B41" s="184"/>
      <c r="C41" s="190"/>
      <c r="D41" s="191"/>
      <c r="E41" s="6"/>
      <c r="F41" s="6"/>
      <c r="G41" s="6"/>
      <c r="H41" s="6"/>
      <c r="I41" s="6"/>
      <c r="J41" s="6"/>
      <c r="K41" s="6"/>
      <c r="L41" s="6"/>
      <c r="M41" s="6"/>
      <c r="N41" s="6"/>
      <c r="O41" s="187"/>
      <c r="P41" s="188"/>
    </row>
    <row r="42" spans="1:16" x14ac:dyDescent="0.35">
      <c r="B42" s="192"/>
      <c r="C42" s="6"/>
      <c r="D42" s="191"/>
      <c r="E42" s="6"/>
      <c r="F42" s="6"/>
      <c r="G42" s="6"/>
      <c r="H42" s="6"/>
      <c r="I42" s="6"/>
      <c r="J42" s="6"/>
      <c r="K42" s="6"/>
      <c r="L42" s="6"/>
      <c r="M42" s="6"/>
      <c r="N42" s="6"/>
      <c r="O42" s="187"/>
      <c r="P42" s="188"/>
    </row>
    <row r="43" spans="1:16" x14ac:dyDescent="0.35">
      <c r="B43" s="193"/>
      <c r="C43" s="194"/>
      <c r="D43" s="195"/>
      <c r="E43" s="194"/>
      <c r="F43" s="194"/>
      <c r="G43" s="194"/>
      <c r="H43" s="194"/>
      <c r="I43" s="194"/>
      <c r="J43" s="194"/>
      <c r="K43" s="194"/>
      <c r="L43" s="194"/>
      <c r="M43" s="194"/>
      <c r="N43" s="194"/>
      <c r="O43" s="196"/>
      <c r="P43" s="197"/>
    </row>
    <row r="44" spans="1:16" x14ac:dyDescent="0.35">
      <c r="B44" s="6"/>
      <c r="C44" s="191"/>
      <c r="D44" s="6"/>
      <c r="E44" s="6"/>
      <c r="F44" s="6"/>
      <c r="G44" s="6"/>
      <c r="H44" s="6"/>
      <c r="I44" s="6"/>
      <c r="J44" s="6"/>
      <c r="K44" s="6"/>
      <c r="L44" s="6"/>
      <c r="M44" s="6"/>
      <c r="N44" s="6"/>
      <c r="O44" s="6"/>
      <c r="P44" s="6"/>
    </row>
    <row r="45" spans="1:16" x14ac:dyDescent="0.35">
      <c r="B45" s="180" t="s">
        <v>182</v>
      </c>
      <c r="C45" s="181"/>
      <c r="D45" s="181"/>
      <c r="E45" s="181"/>
      <c r="F45" s="181"/>
      <c r="G45" s="181"/>
      <c r="H45" s="181"/>
      <c r="I45" s="181"/>
      <c r="J45" s="181"/>
      <c r="K45" s="181"/>
      <c r="L45" s="181"/>
      <c r="M45" s="181"/>
      <c r="N45" s="182"/>
      <c r="O45" s="182"/>
      <c r="P45" s="183"/>
    </row>
    <row r="46" spans="1:16" x14ac:dyDescent="0.35">
      <c r="B46" s="184" t="s">
        <v>4</v>
      </c>
      <c r="C46" s="185"/>
      <c r="D46" s="186"/>
      <c r="E46" s="186"/>
      <c r="F46" s="186"/>
      <c r="G46" s="186"/>
      <c r="H46" s="186"/>
      <c r="I46" s="186"/>
      <c r="J46" s="186"/>
      <c r="K46" s="186"/>
      <c r="L46" s="186"/>
      <c r="M46" s="186"/>
      <c r="N46" s="186"/>
      <c r="O46" s="187"/>
      <c r="P46" s="188"/>
    </row>
    <row r="47" spans="1:16" x14ac:dyDescent="0.35">
      <c r="B47" s="184"/>
      <c r="C47" s="185"/>
      <c r="D47" s="186"/>
      <c r="E47" s="186"/>
      <c r="F47" s="186"/>
      <c r="G47" s="186"/>
      <c r="H47" s="186"/>
      <c r="I47" s="186"/>
      <c r="J47" s="186"/>
      <c r="K47" s="186"/>
      <c r="L47" s="186"/>
      <c r="M47" s="186"/>
      <c r="N47" s="186"/>
      <c r="O47" s="187"/>
      <c r="P47" s="188"/>
    </row>
    <row r="48" spans="1:16" x14ac:dyDescent="0.35">
      <c r="B48" s="184"/>
      <c r="C48" s="185"/>
      <c r="D48" s="186"/>
      <c r="E48" s="186"/>
      <c r="F48" s="186"/>
      <c r="G48" s="186"/>
      <c r="H48" s="186"/>
      <c r="I48" s="186"/>
      <c r="J48" s="186"/>
      <c r="K48" s="186"/>
      <c r="L48" s="186"/>
      <c r="M48" s="186"/>
      <c r="N48" s="186"/>
      <c r="O48" s="187"/>
      <c r="P48" s="188"/>
    </row>
    <row r="49" spans="2:16" x14ac:dyDescent="0.35">
      <c r="B49" s="193"/>
      <c r="C49" s="194"/>
      <c r="D49" s="195"/>
      <c r="E49" s="194"/>
      <c r="F49" s="194"/>
      <c r="G49" s="194"/>
      <c r="H49" s="194"/>
      <c r="I49" s="194"/>
      <c r="J49" s="194"/>
      <c r="K49" s="194"/>
      <c r="L49" s="194"/>
      <c r="M49" s="194"/>
      <c r="N49" s="194"/>
      <c r="O49" s="196"/>
      <c r="P49" s="197"/>
    </row>
    <row r="50" spans="2:16" x14ac:dyDescent="0.35">
      <c r="C50" s="166"/>
    </row>
    <row r="51" spans="2:16" x14ac:dyDescent="0.35">
      <c r="C51" s="166"/>
    </row>
    <row r="52" spans="2:16" x14ac:dyDescent="0.35">
      <c r="C52" s="166"/>
    </row>
    <row r="53" spans="2:16" x14ac:dyDescent="0.35">
      <c r="C53" s="166"/>
    </row>
  </sheetData>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89BE9-C411-463A-A4F1-DAB80ECA2501}">
  <dimension ref="A1:Q59"/>
  <sheetViews>
    <sheetView zoomScaleNormal="100" workbookViewId="0">
      <pane ySplit="12" topLeftCell="A33" activePane="bottomLeft" state="frozen"/>
      <selection pane="bottomLeft" activeCell="K46" sqref="K46"/>
    </sheetView>
  </sheetViews>
  <sheetFormatPr defaultColWidth="9.08984375" defaultRowHeight="14.5" x14ac:dyDescent="0.35"/>
  <cols>
    <col min="1" max="2" width="13" style="156" customWidth="1"/>
    <col min="3" max="3" width="11.26953125" style="156" customWidth="1"/>
    <col min="4" max="4" width="9.08984375" style="156"/>
    <col min="5" max="5" width="8.81640625" style="156" customWidth="1"/>
    <col min="6" max="6" width="10.453125" style="156" customWidth="1"/>
    <col min="7" max="7" width="11.6328125" style="156" customWidth="1"/>
    <col min="8" max="8" width="9.08984375" style="156"/>
    <col min="9" max="9" width="11" style="156" customWidth="1"/>
    <col min="10" max="10" width="10.26953125" style="156" customWidth="1"/>
    <col min="11" max="16384" width="9.08984375" style="156"/>
  </cols>
  <sheetData>
    <row r="1" spans="1:10" s="1" customFormat="1" ht="21" x14ac:dyDescent="0.5">
      <c r="A1" s="1" t="s">
        <v>168</v>
      </c>
      <c r="C1" s="155"/>
    </row>
    <row r="2" spans="1:10" x14ac:dyDescent="0.35">
      <c r="A2" s="156" t="s">
        <v>142</v>
      </c>
      <c r="C2" s="157">
        <v>0.03</v>
      </c>
      <c r="D2" s="156" t="s">
        <v>143</v>
      </c>
    </row>
    <row r="3" spans="1:10" x14ac:dyDescent="0.35">
      <c r="A3" s="156" t="s">
        <v>144</v>
      </c>
      <c r="C3" s="157">
        <v>0.02</v>
      </c>
      <c r="D3" s="156" t="s">
        <v>145</v>
      </c>
    </row>
    <row r="4" spans="1:10" x14ac:dyDescent="0.35">
      <c r="A4" s="156" t="s">
        <v>146</v>
      </c>
      <c r="C4" s="158">
        <v>30000</v>
      </c>
      <c r="D4" s="156" t="s">
        <v>145</v>
      </c>
    </row>
    <row r="5" spans="1:10" x14ac:dyDescent="0.35">
      <c r="A5" s="156" t="s">
        <v>147</v>
      </c>
      <c r="C5" s="157">
        <v>0.1</v>
      </c>
      <c r="D5" s="156" t="s">
        <v>148</v>
      </c>
      <c r="F5" s="157">
        <v>0.02</v>
      </c>
      <c r="G5" s="156" t="s">
        <v>149</v>
      </c>
    </row>
    <row r="6" spans="1:10" x14ac:dyDescent="0.35">
      <c r="A6" s="156" t="s">
        <v>169</v>
      </c>
      <c r="C6" s="157">
        <v>0.09</v>
      </c>
      <c r="D6" s="156" t="s">
        <v>145</v>
      </c>
    </row>
    <row r="7" spans="1:10" x14ac:dyDescent="0.35">
      <c r="A7" s="156" t="s">
        <v>59</v>
      </c>
      <c r="C7" s="157">
        <v>7.0000000000000007E-2</v>
      </c>
      <c r="D7" s="156" t="s">
        <v>145</v>
      </c>
    </row>
    <row r="8" spans="1:10" x14ac:dyDescent="0.35">
      <c r="I8" s="161"/>
      <c r="J8" s="161"/>
    </row>
    <row r="9" spans="1:10" x14ac:dyDescent="0.35">
      <c r="B9" s="159" t="s">
        <v>150</v>
      </c>
      <c r="F9" s="174" t="s">
        <v>170</v>
      </c>
      <c r="G9" s="159" t="s">
        <v>171</v>
      </c>
      <c r="I9" s="161"/>
      <c r="J9" s="160"/>
    </row>
    <row r="10" spans="1:10" x14ac:dyDescent="0.35">
      <c r="B10" s="159"/>
      <c r="F10" s="174" t="s">
        <v>172</v>
      </c>
      <c r="G10" s="159" t="s">
        <v>173</v>
      </c>
      <c r="I10" s="161" t="s">
        <v>153</v>
      </c>
      <c r="J10" s="160" t="s">
        <v>152</v>
      </c>
    </row>
    <row r="11" spans="1:10" x14ac:dyDescent="0.35">
      <c r="B11" s="160" t="s">
        <v>155</v>
      </c>
      <c r="E11" s="161" t="s">
        <v>153</v>
      </c>
      <c r="F11" s="174"/>
      <c r="G11" s="159" t="s">
        <v>174</v>
      </c>
      <c r="I11" s="161" t="s">
        <v>175</v>
      </c>
      <c r="J11" s="160" t="s">
        <v>165</v>
      </c>
    </row>
    <row r="12" spans="1:10" ht="15" thickBot="1" x14ac:dyDescent="0.4">
      <c r="A12" s="162" t="s">
        <v>12</v>
      </c>
      <c r="B12" s="163" t="s">
        <v>176</v>
      </c>
      <c r="C12" s="162" t="s">
        <v>159</v>
      </c>
      <c r="D12" s="162" t="s">
        <v>160</v>
      </c>
      <c r="E12" s="162" t="s">
        <v>161</v>
      </c>
      <c r="F12" s="175" t="s">
        <v>163</v>
      </c>
      <c r="G12" s="163" t="s">
        <v>177</v>
      </c>
      <c r="H12" s="162" t="s">
        <v>153</v>
      </c>
      <c r="I12" s="162" t="s">
        <v>178</v>
      </c>
      <c r="J12" s="163" t="s">
        <v>179</v>
      </c>
    </row>
    <row r="13" spans="1:10" x14ac:dyDescent="0.35">
      <c r="A13" s="161">
        <v>1</v>
      </c>
      <c r="B13" s="167"/>
      <c r="C13" s="165"/>
      <c r="D13" s="165"/>
      <c r="E13" s="165"/>
      <c r="F13" s="176"/>
      <c r="G13" s="167"/>
      <c r="H13" s="165"/>
      <c r="I13" s="165"/>
      <c r="J13" s="167"/>
    </row>
    <row r="14" spans="1:10" x14ac:dyDescent="0.35">
      <c r="A14" s="161">
        <f>1+A13</f>
        <v>2</v>
      </c>
      <c r="B14" s="167"/>
      <c r="C14" s="165"/>
      <c r="D14" s="165"/>
      <c r="E14" s="165"/>
      <c r="F14" s="176"/>
      <c r="G14" s="167"/>
      <c r="H14" s="165"/>
      <c r="I14" s="165"/>
      <c r="J14" s="167"/>
    </row>
    <row r="15" spans="1:10" x14ac:dyDescent="0.35">
      <c r="A15" s="161">
        <f t="shared" ref="A15:A34" si="0">1+A14</f>
        <v>3</v>
      </c>
      <c r="B15" s="167"/>
      <c r="C15" s="165"/>
      <c r="D15" s="165"/>
      <c r="E15" s="165"/>
      <c r="F15" s="176"/>
      <c r="G15" s="167"/>
      <c r="H15" s="165"/>
      <c r="I15" s="165"/>
      <c r="J15" s="167"/>
    </row>
    <row r="16" spans="1:10" x14ac:dyDescent="0.35">
      <c r="A16" s="161">
        <f t="shared" si="0"/>
        <v>4</v>
      </c>
      <c r="B16" s="167"/>
      <c r="C16" s="165"/>
      <c r="D16" s="165"/>
      <c r="E16" s="165"/>
      <c r="F16" s="176"/>
      <c r="G16" s="167"/>
      <c r="H16" s="165"/>
      <c r="I16" s="165"/>
      <c r="J16" s="167"/>
    </row>
    <row r="17" spans="1:10" x14ac:dyDescent="0.35">
      <c r="A17" s="161">
        <f t="shared" si="0"/>
        <v>5</v>
      </c>
      <c r="B17" s="167"/>
      <c r="C17" s="165"/>
      <c r="D17" s="165"/>
      <c r="E17" s="165"/>
      <c r="F17" s="176"/>
      <c r="G17" s="167"/>
      <c r="H17" s="165"/>
      <c r="I17" s="165"/>
      <c r="J17" s="167"/>
    </row>
    <row r="18" spans="1:10" x14ac:dyDescent="0.35">
      <c r="A18" s="161">
        <f t="shared" si="0"/>
        <v>6</v>
      </c>
      <c r="B18" s="167"/>
      <c r="C18" s="165"/>
      <c r="D18" s="165"/>
      <c r="E18" s="165"/>
      <c r="F18" s="176"/>
      <c r="G18" s="167"/>
      <c r="H18" s="165"/>
      <c r="I18" s="165"/>
      <c r="J18" s="167"/>
    </row>
    <row r="19" spans="1:10" x14ac:dyDescent="0.35">
      <c r="A19" s="161">
        <f t="shared" si="0"/>
        <v>7</v>
      </c>
      <c r="B19" s="167"/>
      <c r="C19" s="165"/>
      <c r="D19" s="165"/>
      <c r="E19" s="165"/>
      <c r="F19" s="176"/>
      <c r="G19" s="167"/>
      <c r="H19" s="165"/>
      <c r="I19" s="165"/>
      <c r="J19" s="167"/>
    </row>
    <row r="20" spans="1:10" x14ac:dyDescent="0.35">
      <c r="A20" s="161">
        <f t="shared" si="0"/>
        <v>8</v>
      </c>
      <c r="B20" s="167"/>
      <c r="C20" s="165"/>
      <c r="D20" s="165"/>
      <c r="E20" s="165"/>
      <c r="F20" s="176"/>
      <c r="G20" s="167"/>
      <c r="H20" s="165"/>
      <c r="I20" s="165"/>
      <c r="J20" s="167"/>
    </row>
    <row r="21" spans="1:10" x14ac:dyDescent="0.35">
      <c r="A21" s="161">
        <f t="shared" si="0"/>
        <v>9</v>
      </c>
      <c r="B21" s="167"/>
      <c r="C21" s="165"/>
      <c r="D21" s="165"/>
      <c r="E21" s="165"/>
      <c r="F21" s="176"/>
      <c r="G21" s="167"/>
      <c r="H21" s="165"/>
      <c r="I21" s="165"/>
      <c r="J21" s="167"/>
    </row>
    <row r="22" spans="1:10" x14ac:dyDescent="0.35">
      <c r="A22" s="161">
        <f t="shared" si="0"/>
        <v>10</v>
      </c>
      <c r="B22" s="167"/>
      <c r="C22" s="165"/>
      <c r="D22" s="165"/>
      <c r="E22" s="165"/>
      <c r="F22" s="176"/>
      <c r="G22" s="167"/>
      <c r="H22" s="165"/>
      <c r="I22" s="165"/>
      <c r="J22" s="167"/>
    </row>
    <row r="23" spans="1:10" x14ac:dyDescent="0.35">
      <c r="A23" s="161">
        <f t="shared" si="0"/>
        <v>11</v>
      </c>
      <c r="B23" s="167"/>
      <c r="C23" s="165"/>
      <c r="D23" s="165"/>
      <c r="E23" s="165"/>
      <c r="F23" s="176"/>
      <c r="G23" s="167"/>
      <c r="H23" s="165"/>
      <c r="I23" s="165"/>
      <c r="J23" s="167"/>
    </row>
    <row r="24" spans="1:10" x14ac:dyDescent="0.35">
      <c r="A24" s="161">
        <f t="shared" si="0"/>
        <v>12</v>
      </c>
      <c r="B24" s="167"/>
      <c r="C24" s="165"/>
      <c r="D24" s="165"/>
      <c r="E24" s="165"/>
      <c r="F24" s="176"/>
      <c r="G24" s="167"/>
      <c r="H24" s="165"/>
      <c r="I24" s="165"/>
      <c r="J24" s="167"/>
    </row>
    <row r="25" spans="1:10" x14ac:dyDescent="0.35">
      <c r="A25" s="161">
        <f t="shared" si="0"/>
        <v>13</v>
      </c>
      <c r="B25" s="167"/>
      <c r="C25" s="165"/>
      <c r="D25" s="165"/>
      <c r="E25" s="165"/>
      <c r="F25" s="176"/>
      <c r="G25" s="167"/>
      <c r="H25" s="165"/>
      <c r="I25" s="165"/>
      <c r="J25" s="167"/>
    </row>
    <row r="26" spans="1:10" x14ac:dyDescent="0.35">
      <c r="A26" s="161">
        <f t="shared" si="0"/>
        <v>14</v>
      </c>
      <c r="B26" s="167"/>
      <c r="C26" s="165"/>
      <c r="D26" s="165"/>
      <c r="E26" s="165"/>
      <c r="F26" s="176"/>
      <c r="G26" s="167"/>
      <c r="H26" s="165"/>
      <c r="I26" s="165"/>
      <c r="J26" s="167"/>
    </row>
    <row r="27" spans="1:10" x14ac:dyDescent="0.35">
      <c r="A27" s="161">
        <f t="shared" si="0"/>
        <v>15</v>
      </c>
      <c r="B27" s="167"/>
      <c r="C27" s="165"/>
      <c r="D27" s="165"/>
      <c r="E27" s="165"/>
      <c r="F27" s="176"/>
      <c r="G27" s="167"/>
      <c r="H27" s="165"/>
      <c r="I27" s="165"/>
      <c r="J27" s="167"/>
    </row>
    <row r="28" spans="1:10" x14ac:dyDescent="0.35">
      <c r="A28" s="161">
        <f t="shared" si="0"/>
        <v>16</v>
      </c>
      <c r="B28" s="167"/>
      <c r="C28" s="165"/>
      <c r="D28" s="165"/>
      <c r="E28" s="165"/>
      <c r="F28" s="176"/>
      <c r="G28" s="167"/>
      <c r="H28" s="165"/>
      <c r="I28" s="165"/>
      <c r="J28" s="167"/>
    </row>
    <row r="29" spans="1:10" ht="15" thickBot="1" x14ac:dyDescent="0.4">
      <c r="A29" s="162">
        <f t="shared" si="0"/>
        <v>17</v>
      </c>
      <c r="B29" s="169"/>
      <c r="C29" s="170"/>
      <c r="D29" s="170"/>
      <c r="E29" s="170"/>
      <c r="F29" s="177"/>
      <c r="G29" s="169"/>
      <c r="H29" s="170"/>
      <c r="I29" s="170"/>
      <c r="J29" s="169"/>
    </row>
    <row r="30" spans="1:10" x14ac:dyDescent="0.35">
      <c r="A30" s="161"/>
      <c r="B30" s="167"/>
      <c r="C30" s="165"/>
      <c r="D30" s="165"/>
      <c r="E30" s="165"/>
      <c r="F30" s="176"/>
      <c r="G30" s="178"/>
      <c r="H30" s="165"/>
      <c r="I30" s="165"/>
      <c r="J30" s="167"/>
    </row>
    <row r="31" spans="1:10" x14ac:dyDescent="0.35">
      <c r="A31" s="161"/>
      <c r="B31" s="167"/>
      <c r="C31" s="165"/>
      <c r="D31" s="165"/>
      <c r="E31" s="165"/>
      <c r="F31" s="176"/>
      <c r="G31" s="167"/>
      <c r="H31" s="165"/>
      <c r="I31" s="165"/>
      <c r="J31" s="167"/>
    </row>
    <row r="32" spans="1:10" x14ac:dyDescent="0.35">
      <c r="A32" s="161">
        <f>1+A29</f>
        <v>18</v>
      </c>
      <c r="B32" s="167"/>
      <c r="C32" s="165"/>
      <c r="D32" s="165"/>
      <c r="E32" s="165"/>
      <c r="F32" s="176"/>
      <c r="G32" s="167"/>
      <c r="H32" s="165"/>
      <c r="J32" s="167"/>
    </row>
    <row r="33" spans="1:17" x14ac:dyDescent="0.35">
      <c r="A33" s="161">
        <f t="shared" si="0"/>
        <v>19</v>
      </c>
      <c r="B33" s="167"/>
      <c r="C33" s="165"/>
      <c r="D33" s="165"/>
      <c r="E33" s="165"/>
      <c r="F33" s="176"/>
      <c r="G33" s="167"/>
      <c r="H33" s="165"/>
      <c r="J33" s="167"/>
    </row>
    <row r="34" spans="1:17" ht="15" thickBot="1" x14ac:dyDescent="0.4">
      <c r="A34" s="162">
        <f t="shared" si="0"/>
        <v>20</v>
      </c>
      <c r="B34" s="169"/>
      <c r="C34" s="170"/>
      <c r="D34" s="170"/>
      <c r="E34" s="172"/>
      <c r="F34" s="177"/>
      <c r="G34" s="169"/>
      <c r="H34" s="170"/>
      <c r="I34" s="173"/>
      <c r="J34" s="169"/>
    </row>
    <row r="35" spans="1:17" x14ac:dyDescent="0.35">
      <c r="A35" s="161"/>
      <c r="B35" s="165"/>
      <c r="C35" s="165"/>
      <c r="D35" s="165"/>
      <c r="E35" s="165"/>
      <c r="G35" s="165"/>
      <c r="H35" s="165"/>
      <c r="I35" s="165"/>
      <c r="J35" s="165"/>
    </row>
    <row r="36" spans="1:17" x14ac:dyDescent="0.35">
      <c r="A36" s="161"/>
      <c r="B36" s="165"/>
      <c r="C36" s="165"/>
      <c r="D36" s="165"/>
      <c r="E36" s="165"/>
      <c r="F36" s="165"/>
      <c r="G36" s="165"/>
      <c r="H36" s="165"/>
      <c r="I36" s="165"/>
      <c r="J36" s="165"/>
    </row>
    <row r="37" spans="1:17" x14ac:dyDescent="0.35">
      <c r="A37" s="161"/>
      <c r="B37" s="165"/>
      <c r="C37" s="165"/>
      <c r="D37" s="165"/>
      <c r="E37" s="165"/>
      <c r="F37" s="165"/>
      <c r="G37" s="165"/>
      <c r="H37" s="165"/>
      <c r="I37" s="165"/>
      <c r="J37" s="165"/>
    </row>
    <row r="38" spans="1:17" x14ac:dyDescent="0.35">
      <c r="A38" s="161"/>
      <c r="B38" s="180" t="s">
        <v>182</v>
      </c>
      <c r="C38" s="181"/>
      <c r="D38" s="181"/>
      <c r="E38" s="181"/>
      <c r="F38" s="181"/>
      <c r="G38" s="181"/>
      <c r="H38" s="181"/>
      <c r="I38" s="181"/>
      <c r="J38" s="181"/>
      <c r="K38" s="181"/>
      <c r="L38" s="181"/>
      <c r="M38" s="182"/>
      <c r="N38" s="182"/>
      <c r="O38" s="182"/>
      <c r="P38" s="182"/>
      <c r="Q38" s="183"/>
    </row>
    <row r="39" spans="1:17" x14ac:dyDescent="0.35">
      <c r="A39" s="161"/>
      <c r="B39" s="184"/>
      <c r="C39" s="198"/>
      <c r="D39" s="186"/>
      <c r="E39" s="186"/>
      <c r="F39" s="186"/>
      <c r="G39" s="186"/>
      <c r="H39" s="186"/>
      <c r="I39" s="186"/>
      <c r="J39" s="186"/>
      <c r="K39" s="186"/>
      <c r="L39" s="186"/>
      <c r="M39" s="186"/>
      <c r="N39" s="6"/>
      <c r="O39" s="6"/>
      <c r="P39" s="187"/>
      <c r="Q39" s="188"/>
    </row>
    <row r="40" spans="1:17" x14ac:dyDescent="0.35">
      <c r="A40" s="161"/>
      <c r="B40" s="184"/>
      <c r="C40" s="198"/>
      <c r="D40" s="186"/>
      <c r="E40" s="186"/>
      <c r="F40" s="186"/>
      <c r="G40" s="186"/>
      <c r="H40" s="186"/>
      <c r="I40" s="186"/>
      <c r="J40" s="186"/>
      <c r="K40" s="186"/>
      <c r="L40" s="186"/>
      <c r="M40" s="186"/>
      <c r="N40" s="6"/>
      <c r="O40" s="6"/>
      <c r="P40" s="187"/>
      <c r="Q40" s="188"/>
    </row>
    <row r="41" spans="1:17" x14ac:dyDescent="0.35">
      <c r="A41" s="161"/>
      <c r="B41" s="184"/>
      <c r="C41" s="6"/>
      <c r="D41" s="189"/>
      <c r="E41" s="189"/>
      <c r="F41" s="189"/>
      <c r="G41" s="189"/>
      <c r="H41" s="189"/>
      <c r="I41" s="189"/>
      <c r="J41" s="189"/>
      <c r="K41" s="189"/>
      <c r="L41" s="189"/>
      <c r="M41" s="6"/>
      <c r="N41" s="6"/>
      <c r="O41" s="6"/>
      <c r="P41" s="187"/>
      <c r="Q41" s="188"/>
    </row>
    <row r="42" spans="1:17" x14ac:dyDescent="0.35">
      <c r="A42" s="161"/>
      <c r="B42" s="184"/>
      <c r="C42" s="190"/>
      <c r="D42" s="189"/>
      <c r="E42" s="6"/>
      <c r="F42" s="6"/>
      <c r="G42" s="6"/>
      <c r="H42" s="6"/>
      <c r="I42" s="6"/>
      <c r="J42" s="6"/>
      <c r="K42" s="6"/>
      <c r="L42" s="6"/>
      <c r="M42" s="6"/>
      <c r="N42" s="6"/>
      <c r="O42" s="6"/>
      <c r="P42" s="187"/>
      <c r="Q42" s="188"/>
    </row>
    <row r="43" spans="1:17" x14ac:dyDescent="0.35">
      <c r="A43" s="161"/>
      <c r="B43" s="199"/>
      <c r="C43" s="200"/>
      <c r="D43" s="201"/>
      <c r="E43" s="194"/>
      <c r="F43" s="194"/>
      <c r="G43" s="194"/>
      <c r="H43" s="194"/>
      <c r="I43" s="194"/>
      <c r="J43" s="194"/>
      <c r="K43" s="194"/>
      <c r="L43" s="194"/>
      <c r="M43" s="194"/>
      <c r="N43" s="194"/>
      <c r="O43" s="202"/>
      <c r="P43" s="194"/>
      <c r="Q43" s="197"/>
    </row>
    <row r="44" spans="1:17" x14ac:dyDescent="0.35">
      <c r="A44" s="161"/>
      <c r="B44" s="165"/>
      <c r="C44" s="165"/>
      <c r="D44" s="165"/>
      <c r="E44" s="165"/>
      <c r="F44" s="165"/>
      <c r="G44" s="165"/>
      <c r="H44" s="165"/>
      <c r="I44" s="165"/>
      <c r="J44" s="165"/>
    </row>
    <row r="45" spans="1:17" x14ac:dyDescent="0.35">
      <c r="A45" s="161"/>
      <c r="B45" s="161"/>
      <c r="C45" s="165"/>
    </row>
    <row r="46" spans="1:17" x14ac:dyDescent="0.35">
      <c r="A46" s="161"/>
      <c r="B46" s="161"/>
      <c r="C46" s="166"/>
    </row>
    <row r="47" spans="1:17" x14ac:dyDescent="0.35">
      <c r="C47" s="166"/>
    </row>
    <row r="48" spans="1:17" x14ac:dyDescent="0.35">
      <c r="C48" s="166"/>
    </row>
    <row r="49" spans="3:3" x14ac:dyDescent="0.35">
      <c r="C49" s="166"/>
    </row>
    <row r="50" spans="3:3" x14ac:dyDescent="0.35">
      <c r="C50" s="166"/>
    </row>
    <row r="51" spans="3:3" x14ac:dyDescent="0.35">
      <c r="C51" s="166"/>
    </row>
    <row r="52" spans="3:3" x14ac:dyDescent="0.35">
      <c r="C52" s="166"/>
    </row>
    <row r="53" spans="3:3" x14ac:dyDescent="0.35">
      <c r="C53" s="166"/>
    </row>
    <row r="54" spans="3:3" x14ac:dyDescent="0.35">
      <c r="C54" s="166"/>
    </row>
    <row r="55" spans="3:3" x14ac:dyDescent="0.35">
      <c r="C55" s="166"/>
    </row>
    <row r="56" spans="3:3" x14ac:dyDescent="0.35">
      <c r="C56" s="166"/>
    </row>
    <row r="57" spans="3:3" x14ac:dyDescent="0.35">
      <c r="C57" s="166"/>
    </row>
    <row r="58" spans="3:3" x14ac:dyDescent="0.35">
      <c r="C58" s="166"/>
    </row>
    <row r="59" spans="3:3" x14ac:dyDescent="0.35">
      <c r="C59" s="166"/>
    </row>
  </sheetData>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D0465-736D-4FFF-B4AE-5A87B51651A3}">
  <dimension ref="A1:A17"/>
  <sheetViews>
    <sheetView workbookViewId="0">
      <selection activeCell="D13" sqref="D13"/>
    </sheetView>
  </sheetViews>
  <sheetFormatPr defaultColWidth="9.08984375" defaultRowHeight="14.5" x14ac:dyDescent="0.35"/>
  <cols>
    <col min="1" max="1" width="5.81640625" style="6" customWidth="1"/>
    <col min="2" max="16384" width="9.08984375" style="6"/>
  </cols>
  <sheetData>
    <row r="1" spans="1:1" s="4" customFormat="1" ht="21" x14ac:dyDescent="0.5">
      <c r="A1" s="4" t="s">
        <v>181</v>
      </c>
    </row>
    <row r="3" spans="1:1" x14ac:dyDescent="0.35">
      <c r="A3" s="143" t="s">
        <v>125</v>
      </c>
    </row>
    <row r="4" spans="1:1" x14ac:dyDescent="0.35">
      <c r="A4" s="143"/>
    </row>
    <row r="5" spans="1:1" x14ac:dyDescent="0.35">
      <c r="A5" s="143" t="s">
        <v>126</v>
      </c>
    </row>
    <row r="6" spans="1:1" x14ac:dyDescent="0.35">
      <c r="A6" s="5"/>
    </row>
    <row r="7" spans="1:1" x14ac:dyDescent="0.35">
      <c r="A7" s="179" t="s">
        <v>4</v>
      </c>
    </row>
    <row r="8" spans="1:1" x14ac:dyDescent="0.35">
      <c r="A8" s="5"/>
    </row>
    <row r="9" spans="1:1" x14ac:dyDescent="0.35">
      <c r="A9" s="179" t="s">
        <v>180</v>
      </c>
    </row>
    <row r="10" spans="1:1" x14ac:dyDescent="0.35">
      <c r="A10" s="38"/>
    </row>
    <row r="11" spans="1:1" x14ac:dyDescent="0.35">
      <c r="A11" s="5"/>
    </row>
    <row r="12" spans="1:1" x14ac:dyDescent="0.35">
      <c r="A12" s="143"/>
    </row>
    <row r="13" spans="1:1" x14ac:dyDescent="0.35">
      <c r="A13" s="143"/>
    </row>
    <row r="14" spans="1:1" x14ac:dyDescent="0.35">
      <c r="A14" s="5"/>
    </row>
    <row r="17" spans="1:1" x14ac:dyDescent="0.35">
      <c r="A17" s="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27D8D-CA1A-48A9-8F39-22BC1F12C161}">
  <dimension ref="A1:N25"/>
  <sheetViews>
    <sheetView showGridLines="0" topLeftCell="A5" zoomScaleNormal="100" workbookViewId="0">
      <selection activeCell="B19" sqref="B19"/>
    </sheetView>
  </sheetViews>
  <sheetFormatPr defaultRowHeight="14.5" x14ac:dyDescent="0.35"/>
  <cols>
    <col min="1" max="1" width="3.7265625" style="128" customWidth="1"/>
    <col min="2" max="2" width="34.453125" style="128" customWidth="1"/>
    <col min="3" max="3" width="21.453125" style="128" customWidth="1"/>
    <col min="4" max="4" width="38.81640625" style="128" customWidth="1"/>
    <col min="5" max="6" width="8.7265625" style="128"/>
    <col min="7" max="7" width="10.81640625" style="128" customWidth="1"/>
    <col min="8" max="16384" width="8.7265625" style="128"/>
  </cols>
  <sheetData>
    <row r="1" spans="1:14" ht="26" x14ac:dyDescent="0.35">
      <c r="A1" s="127" t="str">
        <f>Instructions!A1</f>
        <v>Subject CM1: Mock Exam Paper B</v>
      </c>
    </row>
    <row r="2" spans="1:14" ht="16.149999999999999" customHeight="1" x14ac:dyDescent="0.35">
      <c r="A2" s="127"/>
      <c r="B2" s="129"/>
      <c r="C2" s="129"/>
      <c r="D2" s="129"/>
      <c r="E2" s="129"/>
      <c r="F2" s="129"/>
      <c r="G2" s="129"/>
      <c r="H2" s="129"/>
      <c r="I2" s="129"/>
      <c r="J2" s="129"/>
      <c r="K2" s="129"/>
      <c r="L2" s="129"/>
      <c r="M2" s="129"/>
      <c r="N2" s="129"/>
    </row>
    <row r="3" spans="1:14" ht="23.5" x14ac:dyDescent="0.35">
      <c r="A3" s="130" t="str">
        <f>Instructions!A3</f>
        <v>2025 Examinations</v>
      </c>
    </row>
    <row r="5" spans="1:14" x14ac:dyDescent="0.35">
      <c r="D5" s="131" t="s">
        <v>121</v>
      </c>
      <c r="E5" s="132"/>
      <c r="F5" s="133"/>
    </row>
    <row r="7" spans="1:14" x14ac:dyDescent="0.35">
      <c r="B7" s="128" t="s">
        <v>135</v>
      </c>
      <c r="D7" s="131" t="s">
        <v>7</v>
      </c>
    </row>
    <row r="8" spans="1:14" x14ac:dyDescent="0.35">
      <c r="D8" s="131" t="s">
        <v>114</v>
      </c>
      <c r="E8" s="132"/>
      <c r="F8" s="133"/>
    </row>
    <row r="9" spans="1:14" x14ac:dyDescent="0.35">
      <c r="D9" s="134"/>
    </row>
    <row r="10" spans="1:14" x14ac:dyDescent="0.35">
      <c r="D10" s="152" t="s">
        <v>124</v>
      </c>
    </row>
    <row r="11" spans="1:14" x14ac:dyDescent="0.35">
      <c r="D11" s="151"/>
      <c r="E11" s="150"/>
      <c r="F11" s="149"/>
    </row>
    <row r="12" spans="1:14" x14ac:dyDescent="0.35">
      <c r="D12" s="134"/>
    </row>
    <row r="13" spans="1:14" x14ac:dyDescent="0.35">
      <c r="D13" s="131" t="s">
        <v>115</v>
      </c>
    </row>
    <row r="14" spans="1:14" x14ac:dyDescent="0.35">
      <c r="D14" s="131"/>
    </row>
    <row r="15" spans="1:14" x14ac:dyDescent="0.35">
      <c r="D15" s="134" t="s">
        <v>8</v>
      </c>
      <c r="E15" s="131"/>
      <c r="F15" s="131"/>
      <c r="G15" s="131"/>
      <c r="H15" s="131"/>
    </row>
    <row r="16" spans="1:14" x14ac:dyDescent="0.35">
      <c r="D16" s="131" t="s">
        <v>9</v>
      </c>
    </row>
    <row r="17" spans="1:4" x14ac:dyDescent="0.35">
      <c r="D17" s="131"/>
    </row>
    <row r="18" spans="1:4" x14ac:dyDescent="0.35">
      <c r="A18" s="135" t="s">
        <v>116</v>
      </c>
    </row>
    <row r="19" spans="1:4" x14ac:dyDescent="0.35">
      <c r="B19" s="136" t="s">
        <v>140</v>
      </c>
    </row>
    <row r="20" spans="1:4" x14ac:dyDescent="0.35">
      <c r="B20" s="136" t="s">
        <v>10</v>
      </c>
    </row>
    <row r="21" spans="1:4" x14ac:dyDescent="0.35">
      <c r="B21" s="136" t="s">
        <v>122</v>
      </c>
    </row>
    <row r="22" spans="1:4" x14ac:dyDescent="0.35">
      <c r="B22" s="136" t="s">
        <v>136</v>
      </c>
    </row>
    <row r="23" spans="1:4" x14ac:dyDescent="0.35">
      <c r="B23" s="131" t="s">
        <v>134</v>
      </c>
    </row>
    <row r="24" spans="1:4" x14ac:dyDescent="0.35">
      <c r="B24" s="131" t="s">
        <v>123</v>
      </c>
    </row>
    <row r="25" spans="1:4" x14ac:dyDescent="0.35">
      <c r="B25" s="137" t="s">
        <v>108</v>
      </c>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2" r:id="rId4" name="Check Box 2">
              <controlPr defaultSize="0" autoFill="0" autoLine="0" autoPict="0" altText="latest version">
                <anchor moveWithCells="1">
                  <from>
                    <xdr:col>0</xdr:col>
                    <xdr:colOff>0</xdr:colOff>
                    <xdr:row>17</xdr:row>
                    <xdr:rowOff>165100</xdr:rowOff>
                  </from>
                  <to>
                    <xdr:col>0</xdr:col>
                    <xdr:colOff>241300</xdr:colOff>
                    <xdr:row>19</xdr:row>
                    <xdr:rowOff>19050</xdr:rowOff>
                  </to>
                </anchor>
              </controlPr>
            </control>
          </mc:Choice>
        </mc:AlternateContent>
        <mc:AlternateContent xmlns:mc="http://schemas.openxmlformats.org/markup-compatibility/2006">
          <mc:Choice Requires="x14">
            <control shapeId="35843" r:id="rId5" name="Check Box 3">
              <controlPr defaultSize="0" autoFill="0" autoLine="0" autoPict="0" altText="latest version">
                <anchor moveWithCells="1">
                  <from>
                    <xdr:col>0</xdr:col>
                    <xdr:colOff>0</xdr:colOff>
                    <xdr:row>18</xdr:row>
                    <xdr:rowOff>171450</xdr:rowOff>
                  </from>
                  <to>
                    <xdr:col>0</xdr:col>
                    <xdr:colOff>241300</xdr:colOff>
                    <xdr:row>20</xdr:row>
                    <xdr:rowOff>25400</xdr:rowOff>
                  </to>
                </anchor>
              </controlPr>
            </control>
          </mc:Choice>
        </mc:AlternateContent>
        <mc:AlternateContent xmlns:mc="http://schemas.openxmlformats.org/markup-compatibility/2006">
          <mc:Choice Requires="x14">
            <control shapeId="35844" r:id="rId6" name="Check Box 4">
              <controlPr defaultSize="0" autoFill="0" autoLine="0" autoPict="0" altText="latest version">
                <anchor moveWithCells="1">
                  <from>
                    <xdr:col>0</xdr:col>
                    <xdr:colOff>0</xdr:colOff>
                    <xdr:row>19</xdr:row>
                    <xdr:rowOff>0</xdr:rowOff>
                  </from>
                  <to>
                    <xdr:col>0</xdr:col>
                    <xdr:colOff>241300</xdr:colOff>
                    <xdr:row>20</xdr:row>
                    <xdr:rowOff>38100</xdr:rowOff>
                  </to>
                </anchor>
              </controlPr>
            </control>
          </mc:Choice>
        </mc:AlternateContent>
        <mc:AlternateContent xmlns:mc="http://schemas.openxmlformats.org/markup-compatibility/2006">
          <mc:Choice Requires="x14">
            <control shapeId="35845" r:id="rId7" name="Check Box 5">
              <controlPr defaultSize="0" autoFill="0" autoLine="0" autoPict="0" altText="latest version">
                <anchor moveWithCells="1">
                  <from>
                    <xdr:col>0</xdr:col>
                    <xdr:colOff>0</xdr:colOff>
                    <xdr:row>20</xdr:row>
                    <xdr:rowOff>171450</xdr:rowOff>
                  </from>
                  <to>
                    <xdr:col>0</xdr:col>
                    <xdr:colOff>241300</xdr:colOff>
                    <xdr:row>22</xdr:row>
                    <xdr:rowOff>25400</xdr:rowOff>
                  </to>
                </anchor>
              </controlPr>
            </control>
          </mc:Choice>
        </mc:AlternateContent>
        <mc:AlternateContent xmlns:mc="http://schemas.openxmlformats.org/markup-compatibility/2006">
          <mc:Choice Requires="x14">
            <control shapeId="35846" r:id="rId8" name="Check Box 6">
              <controlPr defaultSize="0" autoFill="0" autoLine="0" autoPict="0" altText="latest version">
                <anchor moveWithCells="1">
                  <from>
                    <xdr:col>0</xdr:col>
                    <xdr:colOff>0</xdr:colOff>
                    <xdr:row>19</xdr:row>
                    <xdr:rowOff>165100</xdr:rowOff>
                  </from>
                  <to>
                    <xdr:col>0</xdr:col>
                    <xdr:colOff>241300</xdr:colOff>
                    <xdr:row>21</xdr:row>
                    <xdr:rowOff>19050</xdr:rowOff>
                  </to>
                </anchor>
              </controlPr>
            </control>
          </mc:Choice>
        </mc:AlternateContent>
        <mc:AlternateContent xmlns:mc="http://schemas.openxmlformats.org/markup-compatibility/2006">
          <mc:Choice Requires="x14">
            <control shapeId="35847" r:id="rId9" name="Check Box 7">
              <controlPr defaultSize="0" autoFill="0" autoLine="0" autoPict="0" altText="latest version">
                <anchor moveWithCells="1">
                  <from>
                    <xdr:col>0</xdr:col>
                    <xdr:colOff>0</xdr:colOff>
                    <xdr:row>23</xdr:row>
                    <xdr:rowOff>0</xdr:rowOff>
                  </from>
                  <to>
                    <xdr:col>0</xdr:col>
                    <xdr:colOff>241300</xdr:colOff>
                    <xdr:row>24</xdr:row>
                    <xdr:rowOff>44450</xdr:rowOff>
                  </to>
                </anchor>
              </controlPr>
            </control>
          </mc:Choice>
        </mc:AlternateContent>
        <mc:AlternateContent xmlns:mc="http://schemas.openxmlformats.org/markup-compatibility/2006">
          <mc:Choice Requires="x14">
            <control shapeId="35848" r:id="rId10" name="Check Box 8">
              <controlPr defaultSize="0" autoFill="0" autoLine="0" autoPict="0">
                <anchor moveWithCells="1">
                  <from>
                    <xdr:col>4</xdr:col>
                    <xdr:colOff>95250</xdr:colOff>
                    <xdr:row>3</xdr:row>
                    <xdr:rowOff>171450</xdr:rowOff>
                  </from>
                  <to>
                    <xdr:col>4</xdr:col>
                    <xdr:colOff>431800</xdr:colOff>
                    <xdr:row>5</xdr:row>
                    <xdr:rowOff>6350</xdr:rowOff>
                  </to>
                </anchor>
              </controlPr>
            </control>
          </mc:Choice>
        </mc:AlternateContent>
        <mc:AlternateContent xmlns:mc="http://schemas.openxmlformats.org/markup-compatibility/2006">
          <mc:Choice Requires="x14">
            <control shapeId="35849" r:id="rId11" name="Check Box 9">
              <controlPr defaultSize="0" autoFill="0" autoLine="0" autoPict="0">
                <anchor moveWithCells="1">
                  <from>
                    <xdr:col>5</xdr:col>
                    <xdr:colOff>95250</xdr:colOff>
                    <xdr:row>3</xdr:row>
                    <xdr:rowOff>171450</xdr:rowOff>
                  </from>
                  <to>
                    <xdr:col>5</xdr:col>
                    <xdr:colOff>419100</xdr:colOff>
                    <xdr:row>5</xdr:row>
                    <xdr:rowOff>6350</xdr:rowOff>
                  </to>
                </anchor>
              </controlPr>
            </control>
          </mc:Choice>
        </mc:AlternateContent>
        <mc:AlternateContent xmlns:mc="http://schemas.openxmlformats.org/markup-compatibility/2006">
          <mc:Choice Requires="x14">
            <control shapeId="35850" r:id="rId12" name="Check Box 10">
              <controlPr defaultSize="0" autoFill="0" autoLine="0" autoPict="0">
                <anchor moveWithCells="1">
                  <from>
                    <xdr:col>4</xdr:col>
                    <xdr:colOff>95250</xdr:colOff>
                    <xdr:row>6</xdr:row>
                    <xdr:rowOff>171450</xdr:rowOff>
                  </from>
                  <to>
                    <xdr:col>4</xdr:col>
                    <xdr:colOff>431800</xdr:colOff>
                    <xdr:row>8</xdr:row>
                    <xdr:rowOff>6350</xdr:rowOff>
                  </to>
                </anchor>
              </controlPr>
            </control>
          </mc:Choice>
        </mc:AlternateContent>
        <mc:AlternateContent xmlns:mc="http://schemas.openxmlformats.org/markup-compatibility/2006">
          <mc:Choice Requires="x14">
            <control shapeId="35851" r:id="rId13" name="Check Box 11">
              <controlPr defaultSize="0" autoFill="0" autoLine="0" autoPict="0">
                <anchor moveWithCells="1">
                  <from>
                    <xdr:col>5</xdr:col>
                    <xdr:colOff>95250</xdr:colOff>
                    <xdr:row>6</xdr:row>
                    <xdr:rowOff>171450</xdr:rowOff>
                  </from>
                  <to>
                    <xdr:col>5</xdr:col>
                    <xdr:colOff>419100</xdr:colOff>
                    <xdr:row>8</xdr:row>
                    <xdr:rowOff>6350</xdr:rowOff>
                  </to>
                </anchor>
              </controlPr>
            </control>
          </mc:Choice>
        </mc:AlternateContent>
        <mc:AlternateContent xmlns:mc="http://schemas.openxmlformats.org/markup-compatibility/2006">
          <mc:Choice Requires="x14">
            <control shapeId="35852" r:id="rId14" name="Check Box 12">
              <controlPr defaultSize="0" autoFill="0" autoLine="0" autoPict="0" altText="latest version">
                <anchor moveWithCells="1">
                  <from>
                    <xdr:col>0</xdr:col>
                    <xdr:colOff>0</xdr:colOff>
                    <xdr:row>24</xdr:row>
                    <xdr:rowOff>0</xdr:rowOff>
                  </from>
                  <to>
                    <xdr:col>0</xdr:col>
                    <xdr:colOff>241300</xdr:colOff>
                    <xdr:row>25</xdr:row>
                    <xdr:rowOff>44450</xdr:rowOff>
                  </to>
                </anchor>
              </controlPr>
            </control>
          </mc:Choice>
        </mc:AlternateContent>
        <mc:AlternateContent xmlns:mc="http://schemas.openxmlformats.org/markup-compatibility/2006">
          <mc:Choice Requires="x14">
            <control shapeId="35853" r:id="rId15" name="Check Box 13">
              <controlPr defaultSize="0" autoFill="0" autoLine="0" autoPict="0" altText="latest version">
                <anchor moveWithCells="1">
                  <from>
                    <xdr:col>0</xdr:col>
                    <xdr:colOff>0</xdr:colOff>
                    <xdr:row>22</xdr:row>
                    <xdr:rowOff>0</xdr:rowOff>
                  </from>
                  <to>
                    <xdr:col>0</xdr:col>
                    <xdr:colOff>241300</xdr:colOff>
                    <xdr:row>23</xdr:row>
                    <xdr:rowOff>50800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8"/>
  <sheetViews>
    <sheetView workbookViewId="0">
      <selection activeCell="I13" sqref="I13"/>
    </sheetView>
  </sheetViews>
  <sheetFormatPr defaultColWidth="8.81640625" defaultRowHeight="14.5" x14ac:dyDescent="0.35"/>
  <cols>
    <col min="1" max="1" width="11.08984375" style="12" bestFit="1" customWidth="1"/>
    <col min="2" max="2" width="6.453125" style="12" customWidth="1"/>
    <col min="3" max="3" width="8.81640625" style="12"/>
    <col min="4" max="4" width="12.81640625" style="12" customWidth="1"/>
    <col min="5" max="5" width="14.6328125" style="12" customWidth="1"/>
    <col min="6" max="6" width="13.6328125" style="12" bestFit="1" customWidth="1"/>
    <col min="7" max="7" width="14" style="12" customWidth="1"/>
    <col min="8" max="8" width="20.81640625" style="12" customWidth="1"/>
    <col min="9" max="9" width="20.1796875" style="12" bestFit="1" customWidth="1"/>
    <col min="10" max="16384" width="8.81640625" style="12"/>
  </cols>
  <sheetData>
    <row r="1" spans="1:7" s="10" customFormat="1" ht="21" x14ac:dyDescent="0.5">
      <c r="A1" s="7" t="s">
        <v>16</v>
      </c>
    </row>
    <row r="3" spans="1:7" x14ac:dyDescent="0.35">
      <c r="A3" s="11" t="s">
        <v>11</v>
      </c>
      <c r="B3" s="17">
        <v>0.05</v>
      </c>
    </row>
    <row r="4" spans="1:7" x14ac:dyDescent="0.35">
      <c r="B4" s="18"/>
    </row>
    <row r="6" spans="1:7" x14ac:dyDescent="0.35">
      <c r="C6" s="11" t="s">
        <v>12</v>
      </c>
      <c r="D6" s="11" t="s">
        <v>13</v>
      </c>
    </row>
    <row r="7" spans="1:7" x14ac:dyDescent="0.35">
      <c r="C7" s="11">
        <v>1</v>
      </c>
      <c r="D7" s="19">
        <v>100000</v>
      </c>
      <c r="E7" s="13"/>
      <c r="G7" s="14"/>
    </row>
    <row r="8" spans="1:7" x14ac:dyDescent="0.35">
      <c r="C8" s="11">
        <f>C7+1</f>
        <v>2</v>
      </c>
      <c r="D8" s="19">
        <v>100000</v>
      </c>
      <c r="E8" s="13"/>
      <c r="G8" s="14"/>
    </row>
    <row r="9" spans="1:7" x14ac:dyDescent="0.35">
      <c r="C9" s="11">
        <f t="shared" ref="C9:C36" si="0">C8+1</f>
        <v>3</v>
      </c>
      <c r="D9" s="19">
        <v>100000</v>
      </c>
      <c r="E9" s="13"/>
      <c r="G9" s="14"/>
    </row>
    <row r="10" spans="1:7" x14ac:dyDescent="0.35">
      <c r="C10" s="11">
        <f t="shared" si="0"/>
        <v>4</v>
      </c>
      <c r="D10" s="19">
        <v>100000</v>
      </c>
      <c r="E10" s="13"/>
      <c r="G10" s="14"/>
    </row>
    <row r="11" spans="1:7" x14ac:dyDescent="0.35">
      <c r="C11" s="11">
        <f t="shared" si="0"/>
        <v>5</v>
      </c>
      <c r="D11" s="19">
        <v>100000</v>
      </c>
      <c r="E11" s="13"/>
      <c r="G11" s="14"/>
    </row>
    <row r="12" spans="1:7" x14ac:dyDescent="0.35">
      <c r="C12" s="11">
        <f t="shared" si="0"/>
        <v>6</v>
      </c>
      <c r="D12" s="19">
        <v>100000</v>
      </c>
      <c r="E12" s="13"/>
      <c r="G12" s="14"/>
    </row>
    <row r="13" spans="1:7" x14ac:dyDescent="0.35">
      <c r="C13" s="11">
        <f t="shared" si="0"/>
        <v>7</v>
      </c>
      <c r="D13" s="19">
        <v>100000</v>
      </c>
      <c r="E13" s="13"/>
      <c r="G13" s="14"/>
    </row>
    <row r="14" spans="1:7" x14ac:dyDescent="0.35">
      <c r="C14" s="11">
        <f t="shared" si="0"/>
        <v>8</v>
      </c>
      <c r="D14" s="19">
        <v>100000</v>
      </c>
      <c r="E14" s="13"/>
      <c r="G14" s="14"/>
    </row>
    <row r="15" spans="1:7" x14ac:dyDescent="0.35">
      <c r="C15" s="11">
        <f t="shared" si="0"/>
        <v>9</v>
      </c>
      <c r="D15" s="19">
        <v>100000</v>
      </c>
      <c r="E15" s="13"/>
      <c r="G15" s="14"/>
    </row>
    <row r="16" spans="1:7" x14ac:dyDescent="0.35">
      <c r="C16" s="11">
        <f t="shared" si="0"/>
        <v>10</v>
      </c>
      <c r="D16" s="19">
        <v>100000</v>
      </c>
      <c r="E16" s="13"/>
      <c r="G16" s="14"/>
    </row>
    <row r="17" spans="3:7" x14ac:dyDescent="0.35">
      <c r="C17" s="11">
        <f t="shared" si="0"/>
        <v>11</v>
      </c>
      <c r="D17" s="19">
        <v>200000</v>
      </c>
      <c r="E17" s="13"/>
      <c r="G17" s="14"/>
    </row>
    <row r="18" spans="3:7" x14ac:dyDescent="0.35">
      <c r="C18" s="11">
        <f t="shared" si="0"/>
        <v>12</v>
      </c>
      <c r="D18" s="19">
        <v>200000</v>
      </c>
      <c r="E18" s="13"/>
      <c r="G18" s="14"/>
    </row>
    <row r="19" spans="3:7" x14ac:dyDescent="0.35">
      <c r="C19" s="11">
        <f t="shared" si="0"/>
        <v>13</v>
      </c>
      <c r="D19" s="19">
        <v>200000</v>
      </c>
      <c r="E19" s="13"/>
      <c r="G19" s="14"/>
    </row>
    <row r="20" spans="3:7" x14ac:dyDescent="0.35">
      <c r="C20" s="11">
        <f t="shared" si="0"/>
        <v>14</v>
      </c>
      <c r="D20" s="19">
        <v>200000</v>
      </c>
      <c r="E20" s="13"/>
      <c r="G20" s="14"/>
    </row>
    <row r="21" spans="3:7" x14ac:dyDescent="0.35">
      <c r="C21" s="11">
        <f t="shared" si="0"/>
        <v>15</v>
      </c>
      <c r="D21" s="19">
        <v>200000</v>
      </c>
      <c r="E21" s="13"/>
      <c r="G21" s="14"/>
    </row>
    <row r="22" spans="3:7" x14ac:dyDescent="0.35">
      <c r="C22" s="11">
        <f t="shared" si="0"/>
        <v>16</v>
      </c>
      <c r="D22" s="19">
        <v>200000</v>
      </c>
      <c r="E22" s="13"/>
      <c r="G22" s="14"/>
    </row>
    <row r="23" spans="3:7" x14ac:dyDescent="0.35">
      <c r="C23" s="11">
        <f t="shared" si="0"/>
        <v>17</v>
      </c>
      <c r="D23" s="19">
        <v>200000</v>
      </c>
      <c r="E23" s="13"/>
      <c r="G23" s="14"/>
    </row>
    <row r="24" spans="3:7" x14ac:dyDescent="0.35">
      <c r="C24" s="11">
        <f t="shared" si="0"/>
        <v>18</v>
      </c>
      <c r="D24" s="19">
        <v>200000</v>
      </c>
      <c r="E24" s="13"/>
      <c r="G24" s="14"/>
    </row>
    <row r="25" spans="3:7" x14ac:dyDescent="0.35">
      <c r="C25" s="11">
        <f t="shared" si="0"/>
        <v>19</v>
      </c>
      <c r="D25" s="19">
        <v>200000</v>
      </c>
      <c r="E25" s="13"/>
      <c r="G25" s="14"/>
    </row>
    <row r="26" spans="3:7" x14ac:dyDescent="0.35">
      <c r="C26" s="11">
        <f t="shared" si="0"/>
        <v>20</v>
      </c>
      <c r="D26" s="19">
        <v>200000</v>
      </c>
      <c r="E26" s="13"/>
      <c r="G26" s="14"/>
    </row>
    <row r="27" spans="3:7" x14ac:dyDescent="0.35">
      <c r="C27" s="11">
        <f t="shared" si="0"/>
        <v>21</v>
      </c>
      <c r="D27" s="19">
        <v>300000</v>
      </c>
      <c r="E27" s="13"/>
      <c r="G27" s="14"/>
    </row>
    <row r="28" spans="3:7" x14ac:dyDescent="0.35">
      <c r="C28" s="11">
        <f t="shared" si="0"/>
        <v>22</v>
      </c>
      <c r="D28" s="19">
        <v>300000</v>
      </c>
      <c r="E28" s="13"/>
      <c r="G28" s="14"/>
    </row>
    <row r="29" spans="3:7" x14ac:dyDescent="0.35">
      <c r="C29" s="11">
        <f t="shared" si="0"/>
        <v>23</v>
      </c>
      <c r="D29" s="19">
        <v>300000</v>
      </c>
      <c r="E29" s="13"/>
      <c r="G29" s="14"/>
    </row>
    <row r="30" spans="3:7" x14ac:dyDescent="0.35">
      <c r="C30" s="11">
        <f t="shared" si="0"/>
        <v>24</v>
      </c>
      <c r="D30" s="19">
        <v>300000</v>
      </c>
      <c r="E30" s="13"/>
      <c r="G30" s="14"/>
    </row>
    <row r="31" spans="3:7" x14ac:dyDescent="0.35">
      <c r="C31" s="11">
        <f t="shared" si="0"/>
        <v>25</v>
      </c>
      <c r="D31" s="19">
        <v>300000</v>
      </c>
      <c r="E31" s="13"/>
      <c r="G31" s="14"/>
    </row>
    <row r="32" spans="3:7" x14ac:dyDescent="0.35">
      <c r="C32" s="11">
        <f t="shared" si="0"/>
        <v>26</v>
      </c>
      <c r="D32" s="19">
        <v>300000</v>
      </c>
      <c r="E32" s="13"/>
      <c r="G32" s="14"/>
    </row>
    <row r="33" spans="3:9" x14ac:dyDescent="0.35">
      <c r="C33" s="11">
        <f t="shared" si="0"/>
        <v>27</v>
      </c>
      <c r="D33" s="19">
        <v>300000</v>
      </c>
      <c r="E33" s="13"/>
      <c r="G33" s="14"/>
    </row>
    <row r="34" spans="3:9" x14ac:dyDescent="0.35">
      <c r="C34" s="11">
        <f t="shared" si="0"/>
        <v>28</v>
      </c>
      <c r="D34" s="19">
        <v>300000</v>
      </c>
      <c r="E34" s="13"/>
      <c r="G34" s="14"/>
    </row>
    <row r="35" spans="3:9" x14ac:dyDescent="0.35">
      <c r="C35" s="11">
        <f t="shared" si="0"/>
        <v>29</v>
      </c>
      <c r="D35" s="19">
        <v>300000</v>
      </c>
      <c r="E35" s="13"/>
      <c r="G35" s="14"/>
    </row>
    <row r="36" spans="3:9" x14ac:dyDescent="0.35">
      <c r="C36" s="11">
        <f t="shared" si="0"/>
        <v>30</v>
      </c>
      <c r="D36" s="19">
        <v>300000</v>
      </c>
      <c r="E36" s="13"/>
      <c r="G36" s="14"/>
    </row>
    <row r="37" spans="3:9" x14ac:dyDescent="0.35">
      <c r="C37" s="12">
        <v>31</v>
      </c>
    </row>
    <row r="38" spans="3:9" x14ac:dyDescent="0.35">
      <c r="C38" s="12">
        <v>32</v>
      </c>
      <c r="D38" s="14"/>
      <c r="E38" s="15"/>
      <c r="F38" s="15"/>
      <c r="G38" s="8"/>
      <c r="H38" s="8"/>
      <c r="I38" s="8"/>
    </row>
    <row r="39" spans="3:9" x14ac:dyDescent="0.35">
      <c r="D39" s="14"/>
    </row>
    <row r="40" spans="3:9" x14ac:dyDescent="0.35">
      <c r="D40" s="14"/>
    </row>
    <row r="41" spans="3:9" x14ac:dyDescent="0.35">
      <c r="D41" s="14"/>
      <c r="H41" s="16"/>
    </row>
    <row r="42" spans="3:9" x14ac:dyDescent="0.35">
      <c r="D42" s="14"/>
      <c r="H42" s="15"/>
    </row>
    <row r="43" spans="3:9" x14ac:dyDescent="0.35">
      <c r="D43" s="14"/>
    </row>
    <row r="44" spans="3:9" x14ac:dyDescent="0.35">
      <c r="D44" s="14"/>
    </row>
    <row r="45" spans="3:9" x14ac:dyDescent="0.35">
      <c r="D45" s="14"/>
    </row>
    <row r="46" spans="3:9" x14ac:dyDescent="0.35">
      <c r="D46" s="14"/>
    </row>
    <row r="47" spans="3:9" x14ac:dyDescent="0.35">
      <c r="D47" s="14"/>
    </row>
    <row r="48" spans="3:9" x14ac:dyDescent="0.35">
      <c r="D48" s="1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0"/>
  <sheetViews>
    <sheetView tabSelected="1" topLeftCell="A6" workbookViewId="0">
      <selection activeCell="O12" sqref="O12"/>
    </sheetView>
  </sheetViews>
  <sheetFormatPr defaultColWidth="8.81640625" defaultRowHeight="14.5" x14ac:dyDescent="0.35"/>
  <cols>
    <col min="1" max="1" width="20.54296875" style="12" customWidth="1"/>
    <col min="2" max="2" width="13.81640625" style="12" bestFit="1" customWidth="1"/>
    <col min="3" max="3" width="8.81640625" style="12"/>
    <col min="4" max="4" width="13.453125" style="12" bestFit="1" customWidth="1"/>
    <col min="5" max="5" width="14.81640625" style="12" bestFit="1" customWidth="1"/>
    <col min="6" max="6" width="13.453125" style="12" bestFit="1" customWidth="1"/>
    <col min="7" max="7" width="14.1796875" style="12" bestFit="1" customWidth="1"/>
    <col min="8" max="8" width="18.08984375" style="12" customWidth="1"/>
    <col min="9" max="9" width="15.453125" style="12" customWidth="1"/>
    <col min="10" max="16384" width="8.81640625" style="12"/>
  </cols>
  <sheetData>
    <row r="1" spans="1:8" s="7" customFormat="1" ht="21" x14ac:dyDescent="0.5">
      <c r="A1" s="7" t="s">
        <v>17</v>
      </c>
    </row>
    <row r="3" spans="1:8" x14ac:dyDescent="0.35">
      <c r="A3" s="11" t="s">
        <v>11</v>
      </c>
      <c r="B3" s="17">
        <v>0.05</v>
      </c>
    </row>
    <row r="4" spans="1:8" x14ac:dyDescent="0.35">
      <c r="A4" s="11" t="s">
        <v>18</v>
      </c>
      <c r="B4" s="17">
        <v>0.04</v>
      </c>
    </row>
    <row r="5" spans="1:8" x14ac:dyDescent="0.35">
      <c r="A5" s="11" t="s">
        <v>19</v>
      </c>
      <c r="B5" s="17">
        <v>1.05</v>
      </c>
    </row>
    <row r="6" spans="1:8" x14ac:dyDescent="0.35">
      <c r="A6" s="11" t="s">
        <v>20</v>
      </c>
      <c r="B6" s="17">
        <v>0.06</v>
      </c>
    </row>
    <row r="7" spans="1:8" x14ac:dyDescent="0.35">
      <c r="A7" s="11" t="s">
        <v>21</v>
      </c>
      <c r="B7" s="17">
        <v>1</v>
      </c>
    </row>
    <row r="8" spans="1:8" x14ac:dyDescent="0.35">
      <c r="A8" s="11" t="s">
        <v>22</v>
      </c>
      <c r="B8" s="19">
        <v>1964325</v>
      </c>
    </row>
    <row r="9" spans="1:8" x14ac:dyDescent="0.35">
      <c r="A9" s="11" t="s">
        <v>23</v>
      </c>
      <c r="B9" s="19">
        <v>1054408</v>
      </c>
    </row>
    <row r="11" spans="1:8" x14ac:dyDescent="0.35">
      <c r="D11" s="24"/>
      <c r="E11" s="24"/>
      <c r="F11" s="24"/>
      <c r="G11" s="24"/>
      <c r="H11" s="24"/>
    </row>
    <row r="12" spans="1:8" x14ac:dyDescent="0.35">
      <c r="C12" s="11" t="s">
        <v>12</v>
      </c>
      <c r="D12" s="153"/>
      <c r="E12" s="153"/>
      <c r="F12" s="153"/>
      <c r="G12" s="153"/>
      <c r="H12" s="153"/>
    </row>
    <row r="13" spans="1:8" x14ac:dyDescent="0.35">
      <c r="C13" s="11">
        <v>1</v>
      </c>
      <c r="D13" s="28"/>
      <c r="E13" s="154"/>
      <c r="F13" s="154"/>
      <c r="G13" s="154"/>
      <c r="H13" s="28"/>
    </row>
    <row r="14" spans="1:8" x14ac:dyDescent="0.35">
      <c r="C14" s="11">
        <f>C13+1</f>
        <v>2</v>
      </c>
      <c r="D14" s="28"/>
      <c r="E14" s="154"/>
      <c r="F14" s="154"/>
      <c r="G14" s="154"/>
      <c r="H14" s="28"/>
    </row>
    <row r="15" spans="1:8" x14ac:dyDescent="0.35">
      <c r="C15" s="11">
        <f t="shared" ref="C15:C52" si="0">C14+1</f>
        <v>3</v>
      </c>
      <c r="D15" s="28"/>
      <c r="E15" s="154"/>
      <c r="F15" s="154"/>
      <c r="G15" s="154"/>
      <c r="H15" s="28"/>
    </row>
    <row r="16" spans="1:8" x14ac:dyDescent="0.35">
      <c r="C16" s="11">
        <f t="shared" si="0"/>
        <v>4</v>
      </c>
      <c r="D16" s="28"/>
      <c r="E16" s="154"/>
      <c r="F16" s="154"/>
      <c r="G16" s="154"/>
      <c r="H16" s="28"/>
    </row>
    <row r="17" spans="3:8" x14ac:dyDescent="0.35">
      <c r="C17" s="11">
        <f t="shared" si="0"/>
        <v>5</v>
      </c>
      <c r="D17" s="28"/>
      <c r="E17" s="154"/>
      <c r="F17" s="154"/>
      <c r="G17" s="154"/>
      <c r="H17" s="28"/>
    </row>
    <row r="18" spans="3:8" x14ac:dyDescent="0.35">
      <c r="C18" s="11">
        <f t="shared" si="0"/>
        <v>6</v>
      </c>
      <c r="D18" s="28"/>
      <c r="E18" s="154"/>
      <c r="F18" s="154"/>
      <c r="G18" s="154"/>
      <c r="H18" s="28"/>
    </row>
    <row r="19" spans="3:8" x14ac:dyDescent="0.35">
      <c r="C19" s="11">
        <f t="shared" si="0"/>
        <v>7</v>
      </c>
      <c r="D19" s="28"/>
      <c r="E19" s="154"/>
      <c r="F19" s="154"/>
      <c r="G19" s="154"/>
      <c r="H19" s="28"/>
    </row>
    <row r="20" spans="3:8" x14ac:dyDescent="0.35">
      <c r="C20" s="11">
        <f t="shared" si="0"/>
        <v>8</v>
      </c>
      <c r="D20" s="28"/>
      <c r="E20" s="154"/>
      <c r="F20" s="154"/>
      <c r="G20" s="154"/>
      <c r="H20" s="28"/>
    </row>
    <row r="21" spans="3:8" x14ac:dyDescent="0.35">
      <c r="C21" s="11">
        <f t="shared" si="0"/>
        <v>9</v>
      </c>
      <c r="D21" s="28"/>
      <c r="E21" s="154"/>
      <c r="F21" s="154"/>
      <c r="G21" s="154"/>
      <c r="H21" s="28"/>
    </row>
    <row r="22" spans="3:8" x14ac:dyDescent="0.35">
      <c r="C22" s="11">
        <f t="shared" si="0"/>
        <v>10</v>
      </c>
      <c r="D22" s="28"/>
      <c r="E22" s="154"/>
      <c r="F22" s="154"/>
      <c r="G22" s="154"/>
      <c r="H22" s="154"/>
    </row>
    <row r="23" spans="3:8" x14ac:dyDescent="0.35">
      <c r="C23" s="11">
        <f t="shared" si="0"/>
        <v>11</v>
      </c>
      <c r="D23" s="28"/>
      <c r="E23" s="154"/>
      <c r="F23" s="154"/>
      <c r="G23" s="154"/>
      <c r="H23" s="154"/>
    </row>
    <row r="24" spans="3:8" x14ac:dyDescent="0.35">
      <c r="C24" s="11">
        <f t="shared" si="0"/>
        <v>12</v>
      </c>
      <c r="D24" s="28"/>
      <c r="E24" s="154"/>
      <c r="F24" s="154"/>
      <c r="G24" s="154"/>
      <c r="H24" s="154"/>
    </row>
    <row r="25" spans="3:8" x14ac:dyDescent="0.35">
      <c r="C25" s="11">
        <f t="shared" si="0"/>
        <v>13</v>
      </c>
      <c r="D25" s="28"/>
      <c r="E25" s="154"/>
      <c r="F25" s="154"/>
      <c r="G25" s="154"/>
      <c r="H25" s="154"/>
    </row>
    <row r="26" spans="3:8" x14ac:dyDescent="0.35">
      <c r="C26" s="11">
        <f t="shared" si="0"/>
        <v>14</v>
      </c>
      <c r="D26" s="28"/>
      <c r="E26" s="154"/>
      <c r="F26" s="154"/>
      <c r="G26" s="154"/>
      <c r="H26" s="154"/>
    </row>
    <row r="27" spans="3:8" x14ac:dyDescent="0.35">
      <c r="C27" s="11">
        <f t="shared" si="0"/>
        <v>15</v>
      </c>
      <c r="D27" s="28"/>
      <c r="E27" s="154"/>
      <c r="F27" s="154"/>
      <c r="G27" s="154"/>
      <c r="H27" s="154"/>
    </row>
    <row r="28" spans="3:8" x14ac:dyDescent="0.35">
      <c r="C28" s="11">
        <f t="shared" si="0"/>
        <v>16</v>
      </c>
      <c r="D28" s="28"/>
      <c r="E28" s="28"/>
      <c r="F28" s="28"/>
      <c r="G28" s="154"/>
      <c r="H28" s="154"/>
    </row>
    <row r="29" spans="3:8" x14ac:dyDescent="0.35">
      <c r="C29" s="11">
        <f t="shared" si="0"/>
        <v>17</v>
      </c>
      <c r="D29" s="28"/>
      <c r="E29" s="28"/>
      <c r="F29" s="28"/>
      <c r="G29" s="154"/>
      <c r="H29" s="154"/>
    </row>
    <row r="30" spans="3:8" x14ac:dyDescent="0.35">
      <c r="C30" s="11">
        <f t="shared" si="0"/>
        <v>18</v>
      </c>
      <c r="D30" s="28"/>
      <c r="E30" s="28"/>
      <c r="F30" s="28"/>
      <c r="G30" s="154"/>
      <c r="H30" s="154"/>
    </row>
    <row r="31" spans="3:8" x14ac:dyDescent="0.35">
      <c r="C31" s="11">
        <f t="shared" si="0"/>
        <v>19</v>
      </c>
      <c r="D31" s="28"/>
      <c r="E31" s="28"/>
      <c r="F31" s="28"/>
      <c r="G31" s="154"/>
      <c r="H31" s="154"/>
    </row>
    <row r="32" spans="3:8" x14ac:dyDescent="0.35">
      <c r="C32" s="11">
        <f t="shared" si="0"/>
        <v>20</v>
      </c>
      <c r="D32" s="28"/>
      <c r="E32" s="28"/>
      <c r="F32" s="28"/>
      <c r="G32" s="154"/>
      <c r="H32" s="154"/>
    </row>
    <row r="33" spans="3:8" x14ac:dyDescent="0.35">
      <c r="C33" s="11">
        <f t="shared" si="0"/>
        <v>21</v>
      </c>
      <c r="D33" s="28"/>
      <c r="E33" s="28"/>
      <c r="F33" s="28"/>
      <c r="G33" s="154"/>
      <c r="H33" s="154"/>
    </row>
    <row r="34" spans="3:8" x14ac:dyDescent="0.35">
      <c r="C34" s="11">
        <f t="shared" si="0"/>
        <v>22</v>
      </c>
      <c r="D34" s="28"/>
      <c r="E34" s="28"/>
      <c r="F34" s="28"/>
      <c r="G34" s="154"/>
      <c r="H34" s="154"/>
    </row>
    <row r="35" spans="3:8" x14ac:dyDescent="0.35">
      <c r="C35" s="11">
        <f t="shared" si="0"/>
        <v>23</v>
      </c>
      <c r="D35" s="28"/>
      <c r="E35" s="28"/>
      <c r="F35" s="28"/>
      <c r="G35" s="154"/>
      <c r="H35" s="154"/>
    </row>
    <row r="36" spans="3:8" x14ac:dyDescent="0.35">
      <c r="C36" s="11">
        <f t="shared" si="0"/>
        <v>24</v>
      </c>
      <c r="D36" s="28"/>
      <c r="E36" s="28"/>
      <c r="F36" s="28"/>
      <c r="G36" s="154"/>
      <c r="H36" s="154"/>
    </row>
    <row r="37" spans="3:8" x14ac:dyDescent="0.35">
      <c r="C37" s="11">
        <f t="shared" si="0"/>
        <v>25</v>
      </c>
      <c r="D37" s="28"/>
      <c r="E37" s="28"/>
      <c r="F37" s="28"/>
      <c r="G37" s="154"/>
      <c r="H37" s="154"/>
    </row>
    <row r="38" spans="3:8" x14ac:dyDescent="0.35">
      <c r="C38" s="11">
        <f t="shared" si="0"/>
        <v>26</v>
      </c>
      <c r="D38" s="28"/>
      <c r="E38" s="28"/>
      <c r="F38" s="28"/>
      <c r="G38" s="154"/>
      <c r="H38" s="154"/>
    </row>
    <row r="39" spans="3:8" x14ac:dyDescent="0.35">
      <c r="C39" s="11">
        <f t="shared" si="0"/>
        <v>27</v>
      </c>
      <c r="D39" s="28"/>
      <c r="E39" s="28"/>
      <c r="F39" s="28"/>
      <c r="G39" s="154"/>
      <c r="H39" s="154"/>
    </row>
    <row r="40" spans="3:8" x14ac:dyDescent="0.35">
      <c r="C40" s="11">
        <f t="shared" si="0"/>
        <v>28</v>
      </c>
      <c r="D40" s="28"/>
      <c r="E40" s="28"/>
      <c r="F40" s="28"/>
      <c r="G40" s="154"/>
      <c r="H40" s="154"/>
    </row>
    <row r="41" spans="3:8" x14ac:dyDescent="0.35">
      <c r="C41" s="11">
        <f t="shared" si="0"/>
        <v>29</v>
      </c>
      <c r="D41" s="28"/>
      <c r="E41" s="28"/>
      <c r="F41" s="28"/>
      <c r="G41" s="154"/>
      <c r="H41" s="154"/>
    </row>
    <row r="42" spans="3:8" x14ac:dyDescent="0.35">
      <c r="C42" s="11">
        <f t="shared" si="0"/>
        <v>30</v>
      </c>
      <c r="D42" s="28"/>
      <c r="E42" s="28"/>
      <c r="F42" s="28"/>
      <c r="G42" s="154"/>
      <c r="H42" s="154"/>
    </row>
    <row r="43" spans="3:8" x14ac:dyDescent="0.35">
      <c r="C43" s="11">
        <f t="shared" si="0"/>
        <v>31</v>
      </c>
      <c r="D43" s="28"/>
      <c r="E43" s="28"/>
      <c r="F43" s="28"/>
      <c r="G43" s="154"/>
      <c r="H43" s="154"/>
    </row>
    <row r="44" spans="3:8" x14ac:dyDescent="0.35">
      <c r="C44" s="11">
        <f t="shared" si="0"/>
        <v>32</v>
      </c>
      <c r="D44" s="28"/>
      <c r="E44" s="28"/>
      <c r="F44" s="28"/>
      <c r="G44" s="154"/>
      <c r="H44" s="154"/>
    </row>
    <row r="45" spans="3:8" x14ac:dyDescent="0.35">
      <c r="C45" s="11">
        <f t="shared" si="0"/>
        <v>33</v>
      </c>
      <c r="D45" s="28"/>
      <c r="E45" s="28"/>
      <c r="F45" s="28"/>
      <c r="G45" s="154"/>
      <c r="H45" s="154"/>
    </row>
    <row r="46" spans="3:8" x14ac:dyDescent="0.35">
      <c r="C46" s="11">
        <f t="shared" si="0"/>
        <v>34</v>
      </c>
      <c r="D46" s="28"/>
      <c r="E46" s="28"/>
      <c r="F46" s="28"/>
      <c r="G46" s="154"/>
      <c r="H46" s="154"/>
    </row>
    <row r="47" spans="3:8" x14ac:dyDescent="0.35">
      <c r="C47" s="11">
        <f t="shared" si="0"/>
        <v>35</v>
      </c>
      <c r="D47" s="28"/>
      <c r="E47" s="28"/>
      <c r="F47" s="28"/>
      <c r="G47" s="154"/>
      <c r="H47" s="154"/>
    </row>
    <row r="48" spans="3:8" x14ac:dyDescent="0.35">
      <c r="C48" s="11">
        <f t="shared" si="0"/>
        <v>36</v>
      </c>
      <c r="D48" s="28"/>
      <c r="E48" s="28"/>
      <c r="F48" s="28"/>
      <c r="G48" s="154"/>
      <c r="H48" s="154"/>
    </row>
    <row r="49" spans="1:11" x14ac:dyDescent="0.35">
      <c r="C49" s="11">
        <f t="shared" si="0"/>
        <v>37</v>
      </c>
      <c r="D49" s="28"/>
      <c r="E49" s="28"/>
      <c r="F49" s="28"/>
      <c r="G49" s="154"/>
      <c r="H49" s="154"/>
    </row>
    <row r="50" spans="1:11" x14ac:dyDescent="0.35">
      <c r="C50" s="11">
        <f t="shared" si="0"/>
        <v>38</v>
      </c>
      <c r="D50" s="28"/>
      <c r="E50" s="28"/>
      <c r="F50" s="28"/>
      <c r="G50" s="154"/>
      <c r="H50" s="154"/>
    </row>
    <row r="51" spans="1:11" x14ac:dyDescent="0.35">
      <c r="C51" s="11">
        <f t="shared" si="0"/>
        <v>39</v>
      </c>
      <c r="D51" s="28"/>
      <c r="E51" s="28"/>
      <c r="F51" s="28"/>
      <c r="G51" s="154"/>
      <c r="H51" s="154"/>
    </row>
    <row r="52" spans="1:11" x14ac:dyDescent="0.35">
      <c r="C52" s="11">
        <f t="shared" si="0"/>
        <v>40</v>
      </c>
      <c r="D52" s="28"/>
      <c r="E52" s="28"/>
      <c r="F52" s="28"/>
      <c r="G52" s="154"/>
      <c r="H52" s="154"/>
    </row>
    <row r="54" spans="1:11" x14ac:dyDescent="0.35">
      <c r="A54" s="26"/>
      <c r="B54" s="26"/>
      <c r="C54" s="26"/>
      <c r="D54" s="26"/>
      <c r="E54" s="26"/>
      <c r="F54" s="26"/>
      <c r="G54" s="26"/>
      <c r="H54" s="26"/>
      <c r="I54" s="26"/>
      <c r="J54" s="26"/>
    </row>
    <row r="55" spans="1:11" x14ac:dyDescent="0.35">
      <c r="A55" s="26"/>
      <c r="B55" s="26"/>
      <c r="C55" s="26"/>
      <c r="D55" s="26"/>
      <c r="E55" s="26"/>
      <c r="F55" s="26"/>
      <c r="G55" s="26"/>
      <c r="H55" s="26"/>
      <c r="I55" s="26"/>
      <c r="J55" s="26"/>
    </row>
    <row r="56" spans="1:11" x14ac:dyDescent="0.35">
      <c r="A56" s="26"/>
      <c r="B56" s="26"/>
      <c r="C56" s="26"/>
      <c r="D56" s="26"/>
      <c r="E56" s="26"/>
      <c r="F56" s="26"/>
      <c r="G56" s="26"/>
      <c r="H56" s="26"/>
      <c r="I56" s="26"/>
      <c r="J56" s="26"/>
    </row>
    <row r="57" spans="1:11" x14ac:dyDescent="0.35">
      <c r="A57" s="26"/>
      <c r="B57" s="26"/>
      <c r="C57" s="26"/>
      <c r="D57" s="26"/>
      <c r="E57" s="26"/>
      <c r="F57" s="26"/>
      <c r="G57" s="26"/>
      <c r="H57" s="26"/>
      <c r="I57" s="26"/>
      <c r="J57" s="26"/>
    </row>
    <row r="58" spans="1:11" x14ac:dyDescent="0.35">
      <c r="A58" s="26"/>
      <c r="B58" s="26"/>
      <c r="C58" s="26"/>
      <c r="D58" s="26"/>
      <c r="E58" s="26"/>
      <c r="F58" s="26"/>
      <c r="G58" s="26"/>
      <c r="H58" s="26"/>
      <c r="I58" s="26"/>
      <c r="J58" s="26"/>
    </row>
    <row r="59" spans="1:11" x14ac:dyDescent="0.35">
      <c r="A59" s="26"/>
      <c r="B59" s="26"/>
      <c r="C59" s="26"/>
      <c r="D59" s="26"/>
      <c r="E59" s="26"/>
      <c r="F59" s="26"/>
      <c r="G59" s="26"/>
      <c r="H59" s="26"/>
      <c r="I59" s="26"/>
      <c r="J59" s="26"/>
    </row>
    <row r="60" spans="1:11" x14ac:dyDescent="0.35">
      <c r="A60" s="26"/>
      <c r="B60" s="26"/>
      <c r="C60" s="26"/>
      <c r="D60" s="26"/>
      <c r="E60" s="26"/>
      <c r="F60" s="26"/>
      <c r="G60" s="26"/>
      <c r="H60" s="26"/>
      <c r="I60" s="26"/>
      <c r="J60" s="26"/>
      <c r="K60" s="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5"/>
  <sheetViews>
    <sheetView workbookViewId="0"/>
  </sheetViews>
  <sheetFormatPr defaultColWidth="8.81640625" defaultRowHeight="14.5" x14ac:dyDescent="0.35"/>
  <cols>
    <col min="1" max="1" width="20.54296875" style="12" customWidth="1"/>
    <col min="2" max="2" width="13.81640625" style="12" bestFit="1" customWidth="1"/>
    <col min="3" max="3" width="8.81640625" style="12"/>
    <col min="4" max="4" width="17.81640625" style="12" customWidth="1"/>
    <col min="5" max="16384" width="8.81640625" style="12"/>
  </cols>
  <sheetData>
    <row r="1" spans="1:4" s="7" customFormat="1" ht="21" x14ac:dyDescent="0.5">
      <c r="A1" s="7" t="s">
        <v>24</v>
      </c>
    </row>
    <row r="3" spans="1:4" x14ac:dyDescent="0.35">
      <c r="A3" s="11" t="s">
        <v>11</v>
      </c>
      <c r="B3" s="17">
        <v>0.05</v>
      </c>
    </row>
    <row r="4" spans="1:4" x14ac:dyDescent="0.35">
      <c r="A4" s="29"/>
      <c r="B4" s="30"/>
    </row>
    <row r="5" spans="1:4" x14ac:dyDescent="0.35">
      <c r="A5" s="29"/>
      <c r="B5" s="30"/>
    </row>
    <row r="6" spans="1:4" x14ac:dyDescent="0.35">
      <c r="A6" s="29"/>
      <c r="B6" s="30"/>
    </row>
    <row r="7" spans="1:4" x14ac:dyDescent="0.35">
      <c r="A7" s="29"/>
      <c r="B7" s="30"/>
    </row>
    <row r="8" spans="1:4" x14ac:dyDescent="0.35">
      <c r="A8" s="29"/>
      <c r="B8" s="31"/>
    </row>
    <row r="9" spans="1:4" x14ac:dyDescent="0.35">
      <c r="A9" s="29"/>
      <c r="B9" s="31"/>
    </row>
    <row r="12" spans="1:4" x14ac:dyDescent="0.35">
      <c r="C12" s="11" t="s">
        <v>12</v>
      </c>
      <c r="D12" s="11" t="s">
        <v>27</v>
      </c>
    </row>
    <row r="13" spans="1:4" x14ac:dyDescent="0.35">
      <c r="C13" s="11">
        <v>1</v>
      </c>
      <c r="D13" s="28"/>
    </row>
    <row r="14" spans="1:4" x14ac:dyDescent="0.35">
      <c r="C14" s="11">
        <f>C13+1</f>
        <v>2</v>
      </c>
      <c r="D14" s="28"/>
    </row>
    <row r="15" spans="1:4" x14ac:dyDescent="0.35">
      <c r="C15" s="11">
        <f t="shared" ref="C15:C52" si="0">C14+1</f>
        <v>3</v>
      </c>
      <c r="D15" s="28"/>
    </row>
    <row r="16" spans="1:4" x14ac:dyDescent="0.35">
      <c r="C16" s="11">
        <f t="shared" si="0"/>
        <v>4</v>
      </c>
      <c r="D16" s="28"/>
    </row>
    <row r="17" spans="3:4" x14ac:dyDescent="0.35">
      <c r="C17" s="11">
        <f t="shared" si="0"/>
        <v>5</v>
      </c>
      <c r="D17" s="28"/>
    </row>
    <row r="18" spans="3:4" x14ac:dyDescent="0.35">
      <c r="C18" s="11">
        <f t="shared" si="0"/>
        <v>6</v>
      </c>
      <c r="D18" s="28"/>
    </row>
    <row r="19" spans="3:4" x14ac:dyDescent="0.35">
      <c r="C19" s="11">
        <f t="shared" si="0"/>
        <v>7</v>
      </c>
      <c r="D19" s="28"/>
    </row>
    <row r="20" spans="3:4" x14ac:dyDescent="0.35">
      <c r="C20" s="11">
        <f t="shared" si="0"/>
        <v>8</v>
      </c>
      <c r="D20" s="28"/>
    </row>
    <row r="21" spans="3:4" x14ac:dyDescent="0.35">
      <c r="C21" s="11">
        <f t="shared" si="0"/>
        <v>9</v>
      </c>
      <c r="D21" s="28"/>
    </row>
    <row r="22" spans="3:4" x14ac:dyDescent="0.35">
      <c r="C22" s="11">
        <f t="shared" si="0"/>
        <v>10</v>
      </c>
      <c r="D22" s="28"/>
    </row>
    <row r="23" spans="3:4" x14ac:dyDescent="0.35">
      <c r="C23" s="11">
        <f t="shared" si="0"/>
        <v>11</v>
      </c>
      <c r="D23" s="28"/>
    </row>
    <row r="24" spans="3:4" x14ac:dyDescent="0.35">
      <c r="C24" s="11">
        <f t="shared" si="0"/>
        <v>12</v>
      </c>
      <c r="D24" s="28"/>
    </row>
    <row r="25" spans="3:4" x14ac:dyDescent="0.35">
      <c r="C25" s="11">
        <f t="shared" si="0"/>
        <v>13</v>
      </c>
      <c r="D25" s="28"/>
    </row>
    <row r="26" spans="3:4" x14ac:dyDescent="0.35">
      <c r="C26" s="11">
        <f t="shared" si="0"/>
        <v>14</v>
      </c>
      <c r="D26" s="28"/>
    </row>
    <row r="27" spans="3:4" x14ac:dyDescent="0.35">
      <c r="C27" s="11">
        <f t="shared" si="0"/>
        <v>15</v>
      </c>
      <c r="D27" s="28"/>
    </row>
    <row r="28" spans="3:4" x14ac:dyDescent="0.35">
      <c r="C28" s="11">
        <f t="shared" si="0"/>
        <v>16</v>
      </c>
      <c r="D28" s="28"/>
    </row>
    <row r="29" spans="3:4" x14ac:dyDescent="0.35">
      <c r="C29" s="11">
        <f t="shared" si="0"/>
        <v>17</v>
      </c>
      <c r="D29" s="28"/>
    </row>
    <row r="30" spans="3:4" x14ac:dyDescent="0.35">
      <c r="C30" s="11">
        <f t="shared" si="0"/>
        <v>18</v>
      </c>
      <c r="D30" s="28"/>
    </row>
    <row r="31" spans="3:4" x14ac:dyDescent="0.35">
      <c r="C31" s="11">
        <f t="shared" si="0"/>
        <v>19</v>
      </c>
      <c r="D31" s="28"/>
    </row>
    <row r="32" spans="3:4" x14ac:dyDescent="0.35">
      <c r="C32" s="11">
        <f t="shared" si="0"/>
        <v>20</v>
      </c>
      <c r="D32" s="28"/>
    </row>
    <row r="33" spans="3:4" x14ac:dyDescent="0.35">
      <c r="C33" s="11">
        <f t="shared" si="0"/>
        <v>21</v>
      </c>
      <c r="D33" s="28"/>
    </row>
    <row r="34" spans="3:4" x14ac:dyDescent="0.35">
      <c r="C34" s="11">
        <f t="shared" si="0"/>
        <v>22</v>
      </c>
      <c r="D34" s="28"/>
    </row>
    <row r="35" spans="3:4" x14ac:dyDescent="0.35">
      <c r="C35" s="11">
        <f t="shared" si="0"/>
        <v>23</v>
      </c>
      <c r="D35" s="28"/>
    </row>
    <row r="36" spans="3:4" x14ac:dyDescent="0.35">
      <c r="C36" s="11">
        <f t="shared" si="0"/>
        <v>24</v>
      </c>
      <c r="D36" s="28"/>
    </row>
    <row r="37" spans="3:4" x14ac:dyDescent="0.35">
      <c r="C37" s="11">
        <f t="shared" si="0"/>
        <v>25</v>
      </c>
      <c r="D37" s="28"/>
    </row>
    <row r="38" spans="3:4" x14ac:dyDescent="0.35">
      <c r="C38" s="11">
        <f t="shared" si="0"/>
        <v>26</v>
      </c>
      <c r="D38" s="28"/>
    </row>
    <row r="39" spans="3:4" x14ac:dyDescent="0.35">
      <c r="C39" s="11">
        <f t="shared" si="0"/>
        <v>27</v>
      </c>
      <c r="D39" s="28"/>
    </row>
    <row r="40" spans="3:4" x14ac:dyDescent="0.35">
      <c r="C40" s="11">
        <f t="shared" si="0"/>
        <v>28</v>
      </c>
      <c r="D40" s="28"/>
    </row>
    <row r="41" spans="3:4" x14ac:dyDescent="0.35">
      <c r="C41" s="11">
        <f t="shared" si="0"/>
        <v>29</v>
      </c>
      <c r="D41" s="28"/>
    </row>
    <row r="42" spans="3:4" x14ac:dyDescent="0.35">
      <c r="C42" s="11">
        <f t="shared" si="0"/>
        <v>30</v>
      </c>
      <c r="D42" s="28"/>
    </row>
    <row r="43" spans="3:4" x14ac:dyDescent="0.35">
      <c r="C43" s="11">
        <f t="shared" si="0"/>
        <v>31</v>
      </c>
      <c r="D43" s="28"/>
    </row>
    <row r="44" spans="3:4" x14ac:dyDescent="0.35">
      <c r="C44" s="11">
        <f t="shared" si="0"/>
        <v>32</v>
      </c>
      <c r="D44" s="28"/>
    </row>
    <row r="45" spans="3:4" x14ac:dyDescent="0.35">
      <c r="C45" s="11">
        <f t="shared" si="0"/>
        <v>33</v>
      </c>
      <c r="D45" s="28"/>
    </row>
    <row r="46" spans="3:4" x14ac:dyDescent="0.35">
      <c r="C46" s="11">
        <f t="shared" si="0"/>
        <v>34</v>
      </c>
      <c r="D46" s="28"/>
    </row>
    <row r="47" spans="3:4" x14ac:dyDescent="0.35">
      <c r="C47" s="11">
        <f t="shared" si="0"/>
        <v>35</v>
      </c>
      <c r="D47" s="28"/>
    </row>
    <row r="48" spans="3:4" x14ac:dyDescent="0.35">
      <c r="C48" s="11">
        <f t="shared" si="0"/>
        <v>36</v>
      </c>
      <c r="D48" s="28"/>
    </row>
    <row r="49" spans="3:6" x14ac:dyDescent="0.35">
      <c r="C49" s="11">
        <f t="shared" si="0"/>
        <v>37</v>
      </c>
      <c r="D49" s="28"/>
    </row>
    <row r="50" spans="3:6" x14ac:dyDescent="0.35">
      <c r="C50" s="11">
        <f t="shared" si="0"/>
        <v>38</v>
      </c>
      <c r="D50" s="28"/>
    </row>
    <row r="51" spans="3:6" x14ac:dyDescent="0.35">
      <c r="C51" s="11">
        <f t="shared" si="0"/>
        <v>39</v>
      </c>
      <c r="D51" s="28"/>
    </row>
    <row r="52" spans="3:6" x14ac:dyDescent="0.35">
      <c r="C52" s="11">
        <f t="shared" si="0"/>
        <v>40</v>
      </c>
      <c r="D52" s="28"/>
    </row>
    <row r="54" spans="3:6" s="14" customFormat="1" x14ac:dyDescent="0.35">
      <c r="E54" s="26"/>
      <c r="F54" s="26"/>
    </row>
    <row r="55" spans="3:6" s="14" customFormat="1" x14ac:dyDescent="0.35">
      <c r="E55" s="26"/>
      <c r="F55" s="26"/>
    </row>
    <row r="56" spans="3:6" s="14" customFormat="1" x14ac:dyDescent="0.35">
      <c r="E56" s="26"/>
      <c r="F56" s="26"/>
    </row>
    <row r="57" spans="3:6" s="14" customFormat="1" x14ac:dyDescent="0.35">
      <c r="E57" s="26"/>
      <c r="F57" s="26"/>
    </row>
    <row r="58" spans="3:6" s="14" customFormat="1" x14ac:dyDescent="0.35">
      <c r="E58" s="26"/>
      <c r="F58" s="26"/>
    </row>
    <row r="59" spans="3:6" s="14" customFormat="1" x14ac:dyDescent="0.35"/>
    <row r="60" spans="3:6" s="14" customFormat="1" x14ac:dyDescent="0.35"/>
    <row r="61" spans="3:6" s="14" customFormat="1" x14ac:dyDescent="0.35"/>
    <row r="62" spans="3:6" s="14" customFormat="1" x14ac:dyDescent="0.35"/>
    <row r="63" spans="3:6" s="14" customFormat="1" x14ac:dyDescent="0.35"/>
    <row r="64" spans="3:6" s="14" customFormat="1" x14ac:dyDescent="0.35"/>
    <row r="65" s="14" customFormat="1" x14ac:dyDescent="0.3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53"/>
  <sheetViews>
    <sheetView topLeftCell="A51" zoomScaleNormal="100" workbookViewId="0">
      <selection activeCell="R13" sqref="R13"/>
    </sheetView>
  </sheetViews>
  <sheetFormatPr defaultColWidth="8.81640625" defaultRowHeight="14.5" x14ac:dyDescent="0.35"/>
  <cols>
    <col min="1" max="1" width="15.36328125" style="12" customWidth="1"/>
    <col min="2" max="2" width="8.81640625" style="12"/>
    <col min="3" max="3" width="12.81640625" style="12" customWidth="1"/>
    <col min="4" max="4" width="18" style="12" customWidth="1"/>
    <col min="5" max="5" width="5.08984375" style="12" customWidth="1"/>
    <col min="6" max="6" width="13.6328125" style="12" bestFit="1" customWidth="1"/>
    <col min="7" max="7" width="13.6328125" style="12" customWidth="1"/>
    <col min="8" max="8" width="14" style="12" customWidth="1"/>
    <col min="9" max="9" width="6.6328125" style="12" customWidth="1"/>
    <col min="10" max="10" width="13.6328125" style="12" bestFit="1" customWidth="1"/>
    <col min="11" max="11" width="13.6328125" style="12" customWidth="1"/>
    <col min="12" max="12" width="14" style="12" customWidth="1"/>
    <col min="13" max="13" width="5.81640625" style="12" customWidth="1"/>
    <col min="14" max="14" width="13.6328125" style="12" bestFit="1" customWidth="1"/>
    <col min="15" max="15" width="13.6328125" style="12" customWidth="1"/>
    <col min="16" max="16" width="14" style="12" customWidth="1"/>
    <col min="17" max="17" width="6.81640625" style="12" customWidth="1"/>
    <col min="18" max="18" width="7" style="12" customWidth="1"/>
    <col min="19" max="16384" width="8.81640625" style="12"/>
  </cols>
  <sheetData>
    <row r="1" spans="1:17" s="7" customFormat="1" ht="21" x14ac:dyDescent="0.5">
      <c r="A1" s="7" t="s">
        <v>25</v>
      </c>
    </row>
    <row r="3" spans="1:17" x14ac:dyDescent="0.35">
      <c r="A3" s="33"/>
    </row>
    <row r="4" spans="1:17" x14ac:dyDescent="0.35">
      <c r="A4" s="33"/>
    </row>
    <row r="5" spans="1:17" x14ac:dyDescent="0.35">
      <c r="A5" s="33"/>
    </row>
    <row r="6" spans="1:17" x14ac:dyDescent="0.35">
      <c r="A6" s="33"/>
    </row>
    <row r="7" spans="1:17" x14ac:dyDescent="0.35">
      <c r="A7" s="33"/>
      <c r="H7" s="32"/>
      <c r="L7" s="32"/>
      <c r="P7" s="32"/>
    </row>
    <row r="8" spans="1:17" x14ac:dyDescent="0.35">
      <c r="A8" s="33"/>
      <c r="F8" s="11" t="s">
        <v>11</v>
      </c>
      <c r="H8" s="33"/>
      <c r="J8" s="11" t="s">
        <v>11</v>
      </c>
      <c r="L8" s="33"/>
      <c r="N8" s="11" t="s">
        <v>11</v>
      </c>
      <c r="P8" s="33"/>
    </row>
    <row r="9" spans="1:17" x14ac:dyDescent="0.35">
      <c r="A9" s="33"/>
      <c r="F9" s="20">
        <v>0.04</v>
      </c>
      <c r="G9" s="21"/>
      <c r="H9" s="36"/>
      <c r="I9" s="35"/>
      <c r="J9" s="20">
        <v>0.05</v>
      </c>
      <c r="K9" s="21"/>
      <c r="L9" s="36"/>
      <c r="M9" s="35"/>
      <c r="N9" s="20">
        <v>0.06</v>
      </c>
      <c r="O9" s="21"/>
      <c r="P9" s="36"/>
      <c r="Q9" s="35"/>
    </row>
    <row r="11" spans="1:17" x14ac:dyDescent="0.35">
      <c r="B11" s="11" t="s">
        <v>12</v>
      </c>
      <c r="C11" s="11" t="s">
        <v>13</v>
      </c>
      <c r="D11" s="34" t="s">
        <v>27</v>
      </c>
      <c r="F11" s="11"/>
      <c r="G11" s="11"/>
      <c r="H11" s="11"/>
      <c r="J11" s="11"/>
      <c r="K11" s="11"/>
      <c r="L11" s="11"/>
      <c r="N11" s="11"/>
      <c r="O11" s="11"/>
      <c r="P11" s="11"/>
    </row>
    <row r="12" spans="1:17" x14ac:dyDescent="0.35">
      <c r="B12" s="11">
        <v>1</v>
      </c>
      <c r="C12" s="22">
        <v>100000</v>
      </c>
      <c r="D12" s="28"/>
      <c r="F12" s="27"/>
      <c r="G12" s="28"/>
      <c r="H12" s="28"/>
      <c r="I12" s="14"/>
      <c r="J12" s="27"/>
      <c r="K12" s="28"/>
      <c r="L12" s="28"/>
      <c r="M12" s="14"/>
      <c r="N12" s="27"/>
      <c r="O12" s="28"/>
      <c r="P12" s="28"/>
    </row>
    <row r="13" spans="1:17" x14ac:dyDescent="0.35">
      <c r="B13" s="11">
        <f>B12+1</f>
        <v>2</v>
      </c>
      <c r="C13" s="22">
        <v>100000</v>
      </c>
      <c r="D13" s="28"/>
      <c r="F13" s="27"/>
      <c r="G13" s="28"/>
      <c r="H13" s="28"/>
      <c r="I13" s="14"/>
      <c r="J13" s="27"/>
      <c r="K13" s="28"/>
      <c r="L13" s="28"/>
      <c r="M13" s="14"/>
      <c r="N13" s="27"/>
      <c r="O13" s="28"/>
      <c r="P13" s="28"/>
    </row>
    <row r="14" spans="1:17" x14ac:dyDescent="0.35">
      <c r="B14" s="11">
        <f t="shared" ref="B14:B51" si="0">B13+1</f>
        <v>3</v>
      </c>
      <c r="C14" s="22">
        <v>100000</v>
      </c>
      <c r="D14" s="28"/>
      <c r="F14" s="27"/>
      <c r="G14" s="28"/>
      <c r="H14" s="28"/>
      <c r="I14" s="14"/>
      <c r="J14" s="27"/>
      <c r="K14" s="28"/>
      <c r="L14" s="28"/>
      <c r="M14" s="14"/>
      <c r="N14" s="27"/>
      <c r="O14" s="28"/>
      <c r="P14" s="28"/>
    </row>
    <row r="15" spans="1:17" x14ac:dyDescent="0.35">
      <c r="B15" s="11">
        <f t="shared" si="0"/>
        <v>4</v>
      </c>
      <c r="C15" s="22">
        <v>100000</v>
      </c>
      <c r="D15" s="28"/>
      <c r="F15" s="27"/>
      <c r="G15" s="28"/>
      <c r="H15" s="28"/>
      <c r="I15" s="14"/>
      <c r="J15" s="27"/>
      <c r="K15" s="28"/>
      <c r="L15" s="28"/>
      <c r="M15" s="14"/>
      <c r="N15" s="27"/>
      <c r="O15" s="28"/>
      <c r="P15" s="28"/>
    </row>
    <row r="16" spans="1:17" x14ac:dyDescent="0.35">
      <c r="B16" s="11">
        <f t="shared" si="0"/>
        <v>5</v>
      </c>
      <c r="C16" s="22">
        <v>100000</v>
      </c>
      <c r="D16" s="28"/>
      <c r="F16" s="27"/>
      <c r="G16" s="28"/>
      <c r="H16" s="28"/>
      <c r="I16" s="14"/>
      <c r="J16" s="27"/>
      <c r="K16" s="28"/>
      <c r="L16" s="28"/>
      <c r="M16" s="14"/>
      <c r="N16" s="27"/>
      <c r="O16" s="28"/>
      <c r="P16" s="28"/>
    </row>
    <row r="17" spans="2:16" x14ac:dyDescent="0.35">
      <c r="B17" s="11">
        <f t="shared" si="0"/>
        <v>6</v>
      </c>
      <c r="C17" s="22">
        <v>100000</v>
      </c>
      <c r="D17" s="28"/>
      <c r="F17" s="27"/>
      <c r="G17" s="28"/>
      <c r="H17" s="28"/>
      <c r="I17" s="14"/>
      <c r="J17" s="27"/>
      <c r="K17" s="28"/>
      <c r="L17" s="28"/>
      <c r="M17" s="14"/>
      <c r="N17" s="27"/>
      <c r="O17" s="28"/>
      <c r="P17" s="28"/>
    </row>
    <row r="18" spans="2:16" x14ac:dyDescent="0.35">
      <c r="B18" s="11">
        <f t="shared" si="0"/>
        <v>7</v>
      </c>
      <c r="C18" s="22">
        <v>100000</v>
      </c>
      <c r="D18" s="28"/>
      <c r="F18" s="27"/>
      <c r="G18" s="28"/>
      <c r="H18" s="28"/>
      <c r="I18" s="14"/>
      <c r="J18" s="27"/>
      <c r="K18" s="28"/>
      <c r="L18" s="28"/>
      <c r="M18" s="14"/>
      <c r="N18" s="27"/>
      <c r="O18" s="28"/>
      <c r="P18" s="28"/>
    </row>
    <row r="19" spans="2:16" x14ac:dyDescent="0.35">
      <c r="B19" s="11">
        <f t="shared" si="0"/>
        <v>8</v>
      </c>
      <c r="C19" s="22">
        <v>100000</v>
      </c>
      <c r="D19" s="28"/>
      <c r="F19" s="27"/>
      <c r="G19" s="28"/>
      <c r="H19" s="28"/>
      <c r="I19" s="14"/>
      <c r="J19" s="27"/>
      <c r="K19" s="28"/>
      <c r="L19" s="28"/>
      <c r="M19" s="14"/>
      <c r="N19" s="27"/>
      <c r="O19" s="28"/>
      <c r="P19" s="28"/>
    </row>
    <row r="20" spans="2:16" x14ac:dyDescent="0.35">
      <c r="B20" s="11">
        <f t="shared" si="0"/>
        <v>9</v>
      </c>
      <c r="C20" s="22">
        <v>100000</v>
      </c>
      <c r="D20" s="28"/>
      <c r="F20" s="27"/>
      <c r="G20" s="28"/>
      <c r="H20" s="28"/>
      <c r="I20" s="14"/>
      <c r="J20" s="27"/>
      <c r="K20" s="28"/>
      <c r="L20" s="28"/>
      <c r="M20" s="14"/>
      <c r="N20" s="27"/>
      <c r="O20" s="28"/>
      <c r="P20" s="28"/>
    </row>
    <row r="21" spans="2:16" x14ac:dyDescent="0.35">
      <c r="B21" s="11">
        <f t="shared" si="0"/>
        <v>10</v>
      </c>
      <c r="C21" s="22">
        <v>100000</v>
      </c>
      <c r="D21" s="28"/>
      <c r="F21" s="27"/>
      <c r="G21" s="28"/>
      <c r="H21" s="28"/>
      <c r="I21" s="14"/>
      <c r="J21" s="27"/>
      <c r="K21" s="28"/>
      <c r="L21" s="28"/>
      <c r="M21" s="14"/>
      <c r="N21" s="27"/>
      <c r="O21" s="28"/>
      <c r="P21" s="28"/>
    </row>
    <row r="22" spans="2:16" x14ac:dyDescent="0.35">
      <c r="B22" s="11">
        <f t="shared" si="0"/>
        <v>11</v>
      </c>
      <c r="C22" s="22">
        <v>200000</v>
      </c>
      <c r="D22" s="28"/>
      <c r="F22" s="27"/>
      <c r="G22" s="28"/>
      <c r="H22" s="28"/>
      <c r="I22" s="14"/>
      <c r="J22" s="27"/>
      <c r="K22" s="28"/>
      <c r="L22" s="28"/>
      <c r="M22" s="14"/>
      <c r="N22" s="27"/>
      <c r="O22" s="28"/>
      <c r="P22" s="28"/>
    </row>
    <row r="23" spans="2:16" x14ac:dyDescent="0.35">
      <c r="B23" s="11">
        <f t="shared" si="0"/>
        <v>12</v>
      </c>
      <c r="C23" s="22">
        <v>200000</v>
      </c>
      <c r="D23" s="28"/>
      <c r="F23" s="27"/>
      <c r="G23" s="28"/>
      <c r="H23" s="28"/>
      <c r="I23" s="14"/>
      <c r="J23" s="27"/>
      <c r="K23" s="28"/>
      <c r="L23" s="28"/>
      <c r="M23" s="14"/>
      <c r="N23" s="27"/>
      <c r="O23" s="28"/>
      <c r="P23" s="28"/>
    </row>
    <row r="24" spans="2:16" x14ac:dyDescent="0.35">
      <c r="B24" s="11">
        <f t="shared" si="0"/>
        <v>13</v>
      </c>
      <c r="C24" s="22">
        <v>200000</v>
      </c>
      <c r="D24" s="28"/>
      <c r="F24" s="27"/>
      <c r="G24" s="28"/>
      <c r="H24" s="28"/>
      <c r="I24" s="14"/>
      <c r="J24" s="27"/>
      <c r="K24" s="28"/>
      <c r="L24" s="28"/>
      <c r="M24" s="14"/>
      <c r="N24" s="27"/>
      <c r="O24" s="28"/>
      <c r="P24" s="28"/>
    </row>
    <row r="25" spans="2:16" x14ac:dyDescent="0.35">
      <c r="B25" s="11">
        <f t="shared" si="0"/>
        <v>14</v>
      </c>
      <c r="C25" s="22">
        <v>200000</v>
      </c>
      <c r="D25" s="28"/>
      <c r="F25" s="27"/>
      <c r="G25" s="28"/>
      <c r="H25" s="28"/>
      <c r="I25" s="14"/>
      <c r="J25" s="27"/>
      <c r="K25" s="28"/>
      <c r="L25" s="28"/>
      <c r="M25" s="14"/>
      <c r="N25" s="27"/>
      <c r="O25" s="28"/>
      <c r="P25" s="28"/>
    </row>
    <row r="26" spans="2:16" x14ac:dyDescent="0.35">
      <c r="B26" s="11">
        <f t="shared" si="0"/>
        <v>15</v>
      </c>
      <c r="C26" s="22">
        <v>200000</v>
      </c>
      <c r="D26" s="28"/>
      <c r="F26" s="27"/>
      <c r="G26" s="28"/>
      <c r="H26" s="28"/>
      <c r="I26" s="14"/>
      <c r="J26" s="27"/>
      <c r="K26" s="28"/>
      <c r="L26" s="28"/>
      <c r="M26" s="14"/>
      <c r="N26" s="27"/>
      <c r="O26" s="28"/>
      <c r="P26" s="28"/>
    </row>
    <row r="27" spans="2:16" x14ac:dyDescent="0.35">
      <c r="B27" s="11">
        <f t="shared" si="0"/>
        <v>16</v>
      </c>
      <c r="C27" s="22">
        <v>200000</v>
      </c>
      <c r="D27" s="28"/>
      <c r="F27" s="27"/>
      <c r="G27" s="28"/>
      <c r="H27" s="28"/>
      <c r="I27" s="14"/>
      <c r="J27" s="27"/>
      <c r="K27" s="28"/>
      <c r="L27" s="28"/>
      <c r="M27" s="14"/>
      <c r="N27" s="27"/>
      <c r="O27" s="28"/>
      <c r="P27" s="28"/>
    </row>
    <row r="28" spans="2:16" x14ac:dyDescent="0.35">
      <c r="B28" s="11">
        <f t="shared" si="0"/>
        <v>17</v>
      </c>
      <c r="C28" s="22">
        <v>200000</v>
      </c>
      <c r="D28" s="28"/>
      <c r="F28" s="27"/>
      <c r="G28" s="28"/>
      <c r="H28" s="28"/>
      <c r="I28" s="14"/>
      <c r="J28" s="27"/>
      <c r="K28" s="28"/>
      <c r="L28" s="28"/>
      <c r="M28" s="14"/>
      <c r="N28" s="27"/>
      <c r="O28" s="28"/>
      <c r="P28" s="28"/>
    </row>
    <row r="29" spans="2:16" x14ac:dyDescent="0.35">
      <c r="B29" s="11">
        <f t="shared" si="0"/>
        <v>18</v>
      </c>
      <c r="C29" s="22">
        <v>200000</v>
      </c>
      <c r="D29" s="28"/>
      <c r="F29" s="27"/>
      <c r="G29" s="28"/>
      <c r="H29" s="28"/>
      <c r="I29" s="14"/>
      <c r="J29" s="27"/>
      <c r="K29" s="28"/>
      <c r="L29" s="28"/>
      <c r="M29" s="14"/>
      <c r="N29" s="27"/>
      <c r="O29" s="28"/>
      <c r="P29" s="28"/>
    </row>
    <row r="30" spans="2:16" x14ac:dyDescent="0.35">
      <c r="B30" s="11">
        <f t="shared" si="0"/>
        <v>19</v>
      </c>
      <c r="C30" s="22">
        <v>200000</v>
      </c>
      <c r="D30" s="28"/>
      <c r="F30" s="27"/>
      <c r="G30" s="28"/>
      <c r="H30" s="28"/>
      <c r="I30" s="14"/>
      <c r="J30" s="27"/>
      <c r="K30" s="28"/>
      <c r="L30" s="28"/>
      <c r="M30" s="14"/>
      <c r="N30" s="27"/>
      <c r="O30" s="28"/>
      <c r="P30" s="28"/>
    </row>
    <row r="31" spans="2:16" x14ac:dyDescent="0.35">
      <c r="B31" s="11">
        <f t="shared" si="0"/>
        <v>20</v>
      </c>
      <c r="C31" s="22">
        <v>200000</v>
      </c>
      <c r="D31" s="28"/>
      <c r="F31" s="27"/>
      <c r="G31" s="28"/>
      <c r="H31" s="28"/>
      <c r="I31" s="14"/>
      <c r="J31" s="27"/>
      <c r="K31" s="28"/>
      <c r="L31" s="28"/>
      <c r="M31" s="14"/>
      <c r="N31" s="27"/>
      <c r="O31" s="28"/>
      <c r="P31" s="28"/>
    </row>
    <row r="32" spans="2:16" x14ac:dyDescent="0.35">
      <c r="B32" s="11">
        <f t="shared" si="0"/>
        <v>21</v>
      </c>
      <c r="C32" s="22">
        <v>300000</v>
      </c>
      <c r="D32" s="28"/>
      <c r="F32" s="27"/>
      <c r="G32" s="28"/>
      <c r="H32" s="28"/>
      <c r="I32" s="14"/>
      <c r="J32" s="27"/>
      <c r="K32" s="28"/>
      <c r="L32" s="28"/>
      <c r="M32" s="14"/>
      <c r="N32" s="27"/>
      <c r="O32" s="28"/>
      <c r="P32" s="28"/>
    </row>
    <row r="33" spans="2:16" x14ac:dyDescent="0.35">
      <c r="B33" s="11">
        <f t="shared" si="0"/>
        <v>22</v>
      </c>
      <c r="C33" s="22">
        <v>300000</v>
      </c>
      <c r="D33" s="28"/>
      <c r="F33" s="27"/>
      <c r="G33" s="28"/>
      <c r="H33" s="28"/>
      <c r="I33" s="14"/>
      <c r="J33" s="27"/>
      <c r="K33" s="28"/>
      <c r="L33" s="28"/>
      <c r="M33" s="14"/>
      <c r="N33" s="27"/>
      <c r="O33" s="28"/>
      <c r="P33" s="28"/>
    </row>
    <row r="34" spans="2:16" x14ac:dyDescent="0.35">
      <c r="B34" s="11">
        <f t="shared" si="0"/>
        <v>23</v>
      </c>
      <c r="C34" s="22">
        <v>300000</v>
      </c>
      <c r="D34" s="28"/>
      <c r="F34" s="27"/>
      <c r="G34" s="28"/>
      <c r="H34" s="28"/>
      <c r="I34" s="14"/>
      <c r="J34" s="27"/>
      <c r="K34" s="28"/>
      <c r="L34" s="28"/>
      <c r="M34" s="14"/>
      <c r="N34" s="27"/>
      <c r="O34" s="28"/>
      <c r="P34" s="28"/>
    </row>
    <row r="35" spans="2:16" x14ac:dyDescent="0.35">
      <c r="B35" s="11">
        <f t="shared" si="0"/>
        <v>24</v>
      </c>
      <c r="C35" s="22">
        <v>300000</v>
      </c>
      <c r="D35" s="28"/>
      <c r="F35" s="27"/>
      <c r="G35" s="28"/>
      <c r="H35" s="28"/>
      <c r="I35" s="14"/>
      <c r="J35" s="27"/>
      <c r="K35" s="28"/>
      <c r="L35" s="28"/>
      <c r="M35" s="14"/>
      <c r="N35" s="27"/>
      <c r="O35" s="28"/>
      <c r="P35" s="28"/>
    </row>
    <row r="36" spans="2:16" x14ac:dyDescent="0.35">
      <c r="B36" s="11">
        <f t="shared" si="0"/>
        <v>25</v>
      </c>
      <c r="C36" s="22">
        <v>300000</v>
      </c>
      <c r="D36" s="28"/>
      <c r="F36" s="27"/>
      <c r="G36" s="28"/>
      <c r="H36" s="28"/>
      <c r="I36" s="14"/>
      <c r="J36" s="27"/>
      <c r="K36" s="28"/>
      <c r="L36" s="28"/>
      <c r="M36" s="14"/>
      <c r="N36" s="27"/>
      <c r="O36" s="28"/>
      <c r="P36" s="28"/>
    </row>
    <row r="37" spans="2:16" x14ac:dyDescent="0.35">
      <c r="B37" s="11">
        <f t="shared" si="0"/>
        <v>26</v>
      </c>
      <c r="C37" s="22">
        <v>300000</v>
      </c>
      <c r="D37" s="28"/>
      <c r="F37" s="27"/>
      <c r="G37" s="28"/>
      <c r="H37" s="28"/>
      <c r="I37" s="14"/>
      <c r="J37" s="27"/>
      <c r="K37" s="28"/>
      <c r="L37" s="28"/>
      <c r="M37" s="14"/>
      <c r="N37" s="27"/>
      <c r="O37" s="28"/>
      <c r="P37" s="28"/>
    </row>
    <row r="38" spans="2:16" x14ac:dyDescent="0.35">
      <c r="B38" s="11">
        <f t="shared" si="0"/>
        <v>27</v>
      </c>
      <c r="C38" s="22">
        <v>300000</v>
      </c>
      <c r="D38" s="28"/>
      <c r="F38" s="27"/>
      <c r="G38" s="28"/>
      <c r="H38" s="28"/>
      <c r="I38" s="14"/>
      <c r="J38" s="27"/>
      <c r="K38" s="28"/>
      <c r="L38" s="28"/>
      <c r="M38" s="14"/>
      <c r="N38" s="27"/>
      <c r="O38" s="28"/>
      <c r="P38" s="28"/>
    </row>
    <row r="39" spans="2:16" x14ac:dyDescent="0.35">
      <c r="B39" s="11">
        <f t="shared" si="0"/>
        <v>28</v>
      </c>
      <c r="C39" s="22">
        <v>300000</v>
      </c>
      <c r="D39" s="28"/>
      <c r="F39" s="27"/>
      <c r="G39" s="28"/>
      <c r="H39" s="28"/>
      <c r="I39" s="14"/>
      <c r="J39" s="27"/>
      <c r="K39" s="28"/>
      <c r="L39" s="28"/>
      <c r="M39" s="14"/>
      <c r="N39" s="27"/>
      <c r="O39" s="28"/>
      <c r="P39" s="28"/>
    </row>
    <row r="40" spans="2:16" x14ac:dyDescent="0.35">
      <c r="B40" s="11">
        <f t="shared" si="0"/>
        <v>29</v>
      </c>
      <c r="C40" s="22">
        <v>300000</v>
      </c>
      <c r="D40" s="28"/>
      <c r="F40" s="27"/>
      <c r="G40" s="28"/>
      <c r="H40" s="28"/>
      <c r="I40" s="14"/>
      <c r="J40" s="27"/>
      <c r="K40" s="28"/>
      <c r="L40" s="28"/>
      <c r="M40" s="14"/>
      <c r="N40" s="27"/>
      <c r="O40" s="28"/>
      <c r="P40" s="28"/>
    </row>
    <row r="41" spans="2:16" x14ac:dyDescent="0.35">
      <c r="B41" s="11">
        <f t="shared" si="0"/>
        <v>30</v>
      </c>
      <c r="C41" s="22">
        <v>300000</v>
      </c>
      <c r="D41" s="28"/>
      <c r="F41" s="27"/>
      <c r="G41" s="28"/>
      <c r="H41" s="28"/>
      <c r="I41" s="14"/>
      <c r="J41" s="27"/>
      <c r="K41" s="28"/>
      <c r="L41" s="28"/>
      <c r="M41" s="14"/>
      <c r="N41" s="27"/>
      <c r="O41" s="28"/>
      <c r="P41" s="28"/>
    </row>
    <row r="42" spans="2:16" x14ac:dyDescent="0.35">
      <c r="B42" s="11">
        <f t="shared" si="0"/>
        <v>31</v>
      </c>
      <c r="C42" s="22">
        <v>0</v>
      </c>
      <c r="D42" s="28"/>
      <c r="F42" s="27"/>
      <c r="G42" s="28"/>
      <c r="H42" s="28"/>
      <c r="I42" s="14"/>
      <c r="J42" s="27"/>
      <c r="K42" s="28"/>
      <c r="L42" s="28"/>
      <c r="M42" s="14"/>
      <c r="N42" s="27"/>
      <c r="O42" s="28"/>
      <c r="P42" s="28"/>
    </row>
    <row r="43" spans="2:16" x14ac:dyDescent="0.35">
      <c r="B43" s="11">
        <f t="shared" si="0"/>
        <v>32</v>
      </c>
      <c r="C43" s="22">
        <v>0</v>
      </c>
      <c r="D43" s="28"/>
      <c r="F43" s="27"/>
      <c r="G43" s="28"/>
      <c r="H43" s="28"/>
      <c r="I43" s="14"/>
      <c r="J43" s="27"/>
      <c r="K43" s="28"/>
      <c r="L43" s="28"/>
      <c r="M43" s="14"/>
      <c r="N43" s="27"/>
      <c r="O43" s="28"/>
      <c r="P43" s="28"/>
    </row>
    <row r="44" spans="2:16" x14ac:dyDescent="0.35">
      <c r="B44" s="11">
        <f t="shared" si="0"/>
        <v>33</v>
      </c>
      <c r="C44" s="22">
        <v>0</v>
      </c>
      <c r="D44" s="28"/>
      <c r="F44" s="27"/>
      <c r="G44" s="28"/>
      <c r="H44" s="28"/>
      <c r="I44" s="14"/>
      <c r="J44" s="27"/>
      <c r="K44" s="28"/>
      <c r="L44" s="28"/>
      <c r="M44" s="14"/>
      <c r="N44" s="27"/>
      <c r="O44" s="28"/>
      <c r="P44" s="28"/>
    </row>
    <row r="45" spans="2:16" x14ac:dyDescent="0.35">
      <c r="B45" s="11">
        <f t="shared" si="0"/>
        <v>34</v>
      </c>
      <c r="C45" s="22">
        <v>0</v>
      </c>
      <c r="D45" s="28"/>
      <c r="F45" s="27"/>
      <c r="G45" s="28"/>
      <c r="H45" s="28"/>
      <c r="I45" s="14"/>
      <c r="J45" s="27"/>
      <c r="K45" s="28"/>
      <c r="L45" s="28"/>
      <c r="M45" s="14"/>
      <c r="N45" s="27"/>
      <c r="O45" s="28"/>
      <c r="P45" s="28"/>
    </row>
    <row r="46" spans="2:16" x14ac:dyDescent="0.35">
      <c r="B46" s="11">
        <f t="shared" si="0"/>
        <v>35</v>
      </c>
      <c r="C46" s="22">
        <v>0</v>
      </c>
      <c r="D46" s="28"/>
      <c r="F46" s="27"/>
      <c r="G46" s="28"/>
      <c r="H46" s="28"/>
      <c r="I46" s="14"/>
      <c r="J46" s="27"/>
      <c r="K46" s="28"/>
      <c r="L46" s="28"/>
      <c r="M46" s="14"/>
      <c r="N46" s="27"/>
      <c r="O46" s="28"/>
      <c r="P46" s="28"/>
    </row>
    <row r="47" spans="2:16" x14ac:dyDescent="0.35">
      <c r="B47" s="11">
        <f t="shared" si="0"/>
        <v>36</v>
      </c>
      <c r="C47" s="22">
        <v>0</v>
      </c>
      <c r="D47" s="28"/>
      <c r="F47" s="27"/>
      <c r="G47" s="28"/>
      <c r="H47" s="28"/>
      <c r="I47" s="14"/>
      <c r="J47" s="27"/>
      <c r="K47" s="28"/>
      <c r="L47" s="28"/>
      <c r="M47" s="14"/>
      <c r="N47" s="27"/>
      <c r="O47" s="28"/>
      <c r="P47" s="28"/>
    </row>
    <row r="48" spans="2:16" x14ac:dyDescent="0.35">
      <c r="B48" s="11">
        <f t="shared" si="0"/>
        <v>37</v>
      </c>
      <c r="C48" s="22">
        <v>0</v>
      </c>
      <c r="D48" s="28"/>
      <c r="F48" s="27"/>
      <c r="G48" s="28"/>
      <c r="H48" s="28"/>
      <c r="I48" s="14"/>
      <c r="J48" s="27"/>
      <c r="K48" s="28"/>
      <c r="L48" s="28"/>
      <c r="M48" s="14"/>
      <c r="N48" s="27"/>
      <c r="O48" s="28"/>
      <c r="P48" s="28"/>
    </row>
    <row r="49" spans="2:16" x14ac:dyDescent="0.35">
      <c r="B49" s="11">
        <f t="shared" si="0"/>
        <v>38</v>
      </c>
      <c r="C49" s="22">
        <v>0</v>
      </c>
      <c r="D49" s="28"/>
      <c r="F49" s="27"/>
      <c r="G49" s="28"/>
      <c r="H49" s="28"/>
      <c r="I49" s="14"/>
      <c r="J49" s="27"/>
      <c r="K49" s="28"/>
      <c r="L49" s="28"/>
      <c r="M49" s="14"/>
      <c r="N49" s="27"/>
      <c r="O49" s="28"/>
      <c r="P49" s="28"/>
    </row>
    <row r="50" spans="2:16" x14ac:dyDescent="0.35">
      <c r="B50" s="11">
        <f t="shared" si="0"/>
        <v>39</v>
      </c>
      <c r="C50" s="22">
        <v>0</v>
      </c>
      <c r="D50" s="28"/>
      <c r="F50" s="27"/>
      <c r="G50" s="28"/>
      <c r="H50" s="28"/>
      <c r="I50" s="14"/>
      <c r="J50" s="27"/>
      <c r="K50" s="28"/>
      <c r="L50" s="28"/>
      <c r="M50" s="14"/>
      <c r="N50" s="27"/>
      <c r="O50" s="28"/>
      <c r="P50" s="28"/>
    </row>
    <row r="51" spans="2:16" x14ac:dyDescent="0.35">
      <c r="B51" s="11">
        <f t="shared" si="0"/>
        <v>40</v>
      </c>
      <c r="C51" s="22">
        <v>0</v>
      </c>
      <c r="D51" s="28"/>
      <c r="F51" s="27"/>
      <c r="G51" s="28"/>
      <c r="H51" s="28"/>
      <c r="I51" s="14"/>
      <c r="J51" s="27"/>
      <c r="K51" s="28"/>
      <c r="L51" s="28"/>
      <c r="M51" s="14"/>
      <c r="N51" s="27"/>
      <c r="O51" s="28"/>
      <c r="P51" s="28"/>
    </row>
    <row r="52" spans="2:16" x14ac:dyDescent="0.35">
      <c r="C52" s="23"/>
    </row>
    <row r="53" spans="2:16" x14ac:dyDescent="0.35">
      <c r="D53" s="15"/>
      <c r="F53" s="15"/>
      <c r="G53" s="15"/>
      <c r="H53" s="8"/>
      <c r="J53" s="15"/>
      <c r="K53" s="15"/>
      <c r="L53" s="8"/>
      <c r="N53" s="15"/>
      <c r="O53" s="15"/>
      <c r="P53" s="8"/>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ColWidth="8.81640625" defaultRowHeight="14.5" x14ac:dyDescent="0.35"/>
  <cols>
    <col min="1" max="16" width="8.81640625" style="26"/>
    <col min="17" max="17" width="15.54296875" style="26" customWidth="1"/>
    <col min="18" max="18" width="11.54296875" style="26" customWidth="1"/>
    <col min="19" max="16384" width="8.81640625" style="26"/>
  </cols>
  <sheetData>
    <row r="1" spans="1:1" s="25" customFormat="1" ht="21" x14ac:dyDescent="0.5">
      <c r="A1" s="25" t="s">
        <v>26</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3"/>
  <sheetViews>
    <sheetView workbookViewId="0">
      <selection activeCell="E32" sqref="E32"/>
    </sheetView>
  </sheetViews>
  <sheetFormatPr defaultColWidth="9.08984375" defaultRowHeight="14.5" x14ac:dyDescent="0.35"/>
  <cols>
    <col min="1" max="1" width="5.54296875" style="2" customWidth="1"/>
    <col min="2" max="2" width="13.1796875" style="2" customWidth="1"/>
    <col min="3" max="16384" width="9.08984375" style="2"/>
  </cols>
  <sheetData>
    <row r="1" spans="1:2" s="1" customFormat="1" ht="21" x14ac:dyDescent="0.5">
      <c r="A1" s="1" t="s">
        <v>14</v>
      </c>
    </row>
    <row r="3" spans="1:2" x14ac:dyDescent="0.35">
      <c r="A3" s="37" t="s">
        <v>28</v>
      </c>
      <c r="B3" s="37"/>
    </row>
    <row r="4" spans="1:2" x14ac:dyDescent="0.35">
      <c r="A4" s="37" t="s">
        <v>29</v>
      </c>
      <c r="B4" s="37"/>
    </row>
    <row r="5" spans="1:2" x14ac:dyDescent="0.35">
      <c r="A5" s="37" t="s">
        <v>30</v>
      </c>
      <c r="B5" s="3"/>
    </row>
    <row r="7" spans="1:2" x14ac:dyDescent="0.35">
      <c r="A7" s="3" t="s">
        <v>4</v>
      </c>
      <c r="B7" s="3"/>
    </row>
    <row r="9" spans="1:2" x14ac:dyDescent="0.35">
      <c r="A9" s="37" t="s">
        <v>31</v>
      </c>
      <c r="B9" s="3"/>
    </row>
    <row r="10" spans="1:2" x14ac:dyDescent="0.35">
      <c r="A10" s="37" t="s">
        <v>32</v>
      </c>
      <c r="B10" s="3"/>
    </row>
    <row r="11" spans="1:2" x14ac:dyDescent="0.35">
      <c r="A11" s="37" t="s">
        <v>33</v>
      </c>
      <c r="B11" s="3"/>
    </row>
    <row r="13" spans="1:2" x14ac:dyDescent="0.35">
      <c r="A13"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26"/>
  <sheetViews>
    <sheetView workbookViewId="0"/>
  </sheetViews>
  <sheetFormatPr defaultColWidth="8.81640625" defaultRowHeight="14.5" x14ac:dyDescent="0.35"/>
  <cols>
    <col min="1" max="1" width="33.08984375" style="41" customWidth="1"/>
    <col min="2" max="2" width="11.36328125" style="41" customWidth="1"/>
    <col min="3" max="3" width="9.453125" style="41" customWidth="1"/>
    <col min="4" max="4" width="8.81640625" style="41"/>
    <col min="5" max="5" width="9.453125" style="41" customWidth="1"/>
    <col min="6" max="6" width="9.54296875" style="41" customWidth="1"/>
    <col min="7" max="7" width="11.36328125" style="41" customWidth="1"/>
    <col min="8" max="11" width="8.81640625" style="41"/>
    <col min="12" max="12" width="9.54296875" style="41" customWidth="1"/>
    <col min="13" max="21" width="8.81640625" style="41"/>
    <col min="22" max="22" width="9.08984375" style="41" customWidth="1"/>
    <col min="23" max="16384" width="8.81640625" style="41"/>
  </cols>
  <sheetData>
    <row r="1" spans="1:23" s="40" customFormat="1" ht="21" x14ac:dyDescent="0.5">
      <c r="A1" s="39" t="s">
        <v>37</v>
      </c>
    </row>
    <row r="2" spans="1:23" x14ac:dyDescent="0.35">
      <c r="D2" s="42"/>
      <c r="V2" s="43"/>
    </row>
    <row r="3" spans="1:23" x14ac:dyDescent="0.35">
      <c r="A3" s="44" t="s">
        <v>38</v>
      </c>
      <c r="B3" s="45"/>
      <c r="C3" s="45"/>
      <c r="D3" s="45"/>
      <c r="F3" s="46"/>
      <c r="G3" s="46"/>
      <c r="H3" s="46"/>
      <c r="I3" s="46"/>
      <c r="J3" s="46"/>
      <c r="K3" s="46"/>
      <c r="L3" s="46"/>
      <c r="M3" s="46"/>
      <c r="N3" s="46"/>
      <c r="O3" s="46"/>
      <c r="P3" s="46"/>
      <c r="Q3" s="46"/>
      <c r="R3" s="46"/>
      <c r="S3" s="46"/>
      <c r="T3" s="46"/>
      <c r="U3" s="46"/>
      <c r="V3" s="46"/>
      <c r="W3" s="43"/>
    </row>
    <row r="4" spans="1:23" x14ac:dyDescent="0.35">
      <c r="A4" s="45"/>
      <c r="B4" s="45"/>
      <c r="C4" s="45"/>
      <c r="D4" s="45"/>
      <c r="F4" s="46"/>
      <c r="G4" s="46"/>
      <c r="H4" s="46"/>
      <c r="I4" s="46"/>
      <c r="J4" s="46"/>
      <c r="K4" s="46"/>
      <c r="L4" s="46"/>
      <c r="M4" s="46"/>
      <c r="N4" s="46"/>
      <c r="O4" s="46"/>
      <c r="P4" s="46"/>
      <c r="Q4" s="46"/>
      <c r="R4" s="46"/>
      <c r="S4" s="46"/>
      <c r="T4" s="46"/>
      <c r="U4" s="46"/>
      <c r="V4" s="46"/>
      <c r="W4" s="43"/>
    </row>
    <row r="5" spans="1:23" x14ac:dyDescent="0.35">
      <c r="A5" s="47" t="s">
        <v>39</v>
      </c>
      <c r="B5" s="48">
        <v>1000</v>
      </c>
      <c r="C5" s="49" t="s">
        <v>40</v>
      </c>
      <c r="D5" s="49"/>
      <c r="E5" s="50"/>
      <c r="F5" s="46"/>
      <c r="G5" s="46"/>
      <c r="H5" s="46"/>
      <c r="I5" s="46"/>
      <c r="J5" s="46"/>
      <c r="K5" s="46"/>
      <c r="L5" s="46"/>
      <c r="M5" s="46"/>
      <c r="N5" s="46"/>
      <c r="O5" s="46"/>
      <c r="P5" s="46"/>
      <c r="Q5" s="46"/>
      <c r="R5" s="46"/>
      <c r="S5" s="46"/>
      <c r="T5" s="46"/>
      <c r="U5" s="46"/>
      <c r="V5" s="46"/>
      <c r="W5" s="43"/>
    </row>
    <row r="6" spans="1:23" x14ac:dyDescent="0.35">
      <c r="A6" s="47" t="s">
        <v>41</v>
      </c>
      <c r="B6" s="48">
        <v>10000</v>
      </c>
      <c r="C6" s="45"/>
      <c r="D6" s="45"/>
      <c r="F6" s="46"/>
      <c r="G6" s="46"/>
      <c r="H6" s="46"/>
      <c r="I6" s="46"/>
      <c r="J6" s="46"/>
      <c r="K6" s="46"/>
      <c r="L6" s="46"/>
      <c r="M6" s="46"/>
      <c r="N6" s="46"/>
      <c r="O6" s="46"/>
      <c r="P6" s="46"/>
      <c r="Q6" s="46"/>
      <c r="R6" s="46"/>
      <c r="S6" s="46"/>
      <c r="T6" s="46"/>
      <c r="U6" s="46"/>
      <c r="V6" s="46"/>
      <c r="W6" s="43"/>
    </row>
    <row r="7" spans="1:23" x14ac:dyDescent="0.35">
      <c r="A7" s="51" t="s">
        <v>42</v>
      </c>
      <c r="B7" s="47" t="s">
        <v>43</v>
      </c>
      <c r="C7" s="51" t="s">
        <v>44</v>
      </c>
      <c r="D7" s="52"/>
      <c r="E7" s="52"/>
      <c r="F7" s="53"/>
      <c r="G7" s="53"/>
      <c r="H7" s="53"/>
      <c r="I7" s="53"/>
      <c r="J7" s="53"/>
      <c r="K7" s="54"/>
      <c r="L7" s="46"/>
      <c r="M7" s="46"/>
      <c r="N7" s="46"/>
      <c r="O7" s="46"/>
      <c r="P7" s="46"/>
      <c r="Q7" s="46"/>
      <c r="R7" s="46"/>
      <c r="S7" s="46"/>
      <c r="T7" s="46"/>
      <c r="U7" s="46"/>
      <c r="V7" s="46"/>
      <c r="W7" s="43"/>
    </row>
    <row r="8" spans="1:23" x14ac:dyDescent="0.35">
      <c r="A8" s="45"/>
      <c r="B8" s="122">
        <v>0.98</v>
      </c>
      <c r="C8" s="55" t="s">
        <v>45</v>
      </c>
      <c r="D8" s="56"/>
      <c r="E8" s="57"/>
      <c r="F8" s="46"/>
      <c r="G8" s="46"/>
      <c r="H8" s="46"/>
      <c r="I8" s="46"/>
      <c r="J8" s="46"/>
      <c r="K8" s="46"/>
      <c r="L8" s="46"/>
      <c r="M8" s="46"/>
      <c r="N8" s="46"/>
      <c r="O8" s="46"/>
      <c r="P8" s="46"/>
      <c r="Q8" s="46"/>
      <c r="R8" s="46"/>
      <c r="S8" s="46"/>
      <c r="T8" s="46"/>
      <c r="U8" s="46"/>
      <c r="V8" s="46"/>
      <c r="W8" s="43"/>
    </row>
    <row r="9" spans="1:23" x14ac:dyDescent="0.35">
      <c r="A9" s="47" t="s">
        <v>46</v>
      </c>
      <c r="B9" s="123">
        <v>0.05</v>
      </c>
      <c r="C9" s="45"/>
      <c r="F9" s="46"/>
      <c r="G9" s="46"/>
      <c r="H9" s="46"/>
      <c r="I9" s="46"/>
      <c r="J9" s="46"/>
      <c r="K9" s="46"/>
      <c r="L9" s="46"/>
      <c r="M9" s="46"/>
      <c r="N9" s="46"/>
      <c r="O9" s="46"/>
      <c r="P9" s="46"/>
      <c r="Q9" s="46"/>
      <c r="R9" s="46"/>
      <c r="S9" s="46"/>
      <c r="T9" s="46"/>
      <c r="U9" s="46"/>
      <c r="V9" s="46"/>
      <c r="W9" s="43"/>
    </row>
    <row r="10" spans="1:23" x14ac:dyDescent="0.35">
      <c r="A10" s="116" t="s">
        <v>92</v>
      </c>
      <c r="B10" s="59">
        <v>0.01</v>
      </c>
      <c r="C10" s="60" t="s">
        <v>47</v>
      </c>
      <c r="D10" s="52"/>
      <c r="E10" s="52"/>
      <c r="F10" s="53"/>
      <c r="G10" s="54"/>
      <c r="H10" s="46"/>
      <c r="I10" s="46"/>
      <c r="J10" s="46"/>
      <c r="K10" s="46"/>
      <c r="L10" s="46"/>
      <c r="M10" s="46"/>
      <c r="N10" s="46"/>
      <c r="O10" s="46"/>
      <c r="P10" s="46"/>
      <c r="Q10" s="46"/>
      <c r="R10" s="46"/>
      <c r="S10" s="46"/>
      <c r="T10" s="46"/>
      <c r="U10" s="46"/>
      <c r="V10" s="46"/>
      <c r="W10" s="43"/>
    </row>
    <row r="11" spans="1:23" x14ac:dyDescent="0.35">
      <c r="B11" s="46"/>
      <c r="C11" s="46"/>
      <c r="D11" s="46"/>
      <c r="E11" s="46"/>
      <c r="F11" s="46"/>
      <c r="G11" s="46"/>
      <c r="H11" s="46"/>
      <c r="I11" s="46"/>
      <c r="J11" s="46"/>
      <c r="K11" s="46"/>
      <c r="L11" s="46"/>
      <c r="M11" s="46"/>
      <c r="N11" s="46"/>
      <c r="O11" s="46"/>
      <c r="P11" s="46"/>
      <c r="Q11" s="46"/>
      <c r="R11" s="46"/>
      <c r="S11" s="46"/>
      <c r="T11" s="46"/>
      <c r="U11" s="46"/>
      <c r="V11" s="46"/>
      <c r="W11" s="43"/>
    </row>
    <row r="12" spans="1:23" x14ac:dyDescent="0.35">
      <c r="B12" s="46"/>
      <c r="C12" s="46"/>
      <c r="D12" s="46"/>
      <c r="E12" s="46"/>
      <c r="F12" s="46"/>
      <c r="G12" s="46"/>
      <c r="H12" s="46"/>
      <c r="I12" s="46"/>
      <c r="J12" s="46"/>
      <c r="K12" s="46"/>
      <c r="L12" s="46"/>
      <c r="M12" s="46"/>
      <c r="N12" s="46"/>
      <c r="O12" s="46"/>
      <c r="P12" s="46"/>
      <c r="Q12" s="46"/>
      <c r="R12" s="46"/>
      <c r="S12" s="46"/>
      <c r="T12" s="46"/>
      <c r="U12" s="46"/>
      <c r="V12" s="46"/>
    </row>
    <row r="13" spans="1:23" x14ac:dyDescent="0.35">
      <c r="A13" s="61" t="s">
        <v>48</v>
      </c>
      <c r="B13" s="46"/>
      <c r="C13" s="62"/>
      <c r="D13" s="46"/>
      <c r="E13" s="46"/>
      <c r="F13" s="46"/>
      <c r="G13" s="46"/>
      <c r="H13" s="46"/>
      <c r="I13" s="46"/>
      <c r="J13" s="46"/>
      <c r="K13" s="46"/>
      <c r="L13" s="46"/>
      <c r="M13" s="46"/>
      <c r="N13" s="46"/>
      <c r="O13" s="46"/>
      <c r="P13" s="46"/>
      <c r="Q13" s="46"/>
      <c r="R13" s="46"/>
      <c r="S13" s="46"/>
      <c r="T13" s="46"/>
      <c r="U13" s="46"/>
    </row>
    <row r="14" spans="1:23" x14ac:dyDescent="0.35">
      <c r="B14" s="46"/>
      <c r="C14" s="46"/>
      <c r="D14" s="46"/>
      <c r="E14" s="46"/>
      <c r="F14" s="46"/>
      <c r="G14" s="46"/>
      <c r="H14" s="46"/>
      <c r="I14" s="46"/>
      <c r="J14" s="46"/>
      <c r="K14" s="46"/>
      <c r="L14" s="46"/>
      <c r="M14" s="46"/>
      <c r="N14" s="46"/>
      <c r="O14" s="46"/>
      <c r="P14" s="46"/>
      <c r="Q14" s="46"/>
      <c r="R14" s="46"/>
      <c r="S14" s="46"/>
      <c r="T14" s="46"/>
      <c r="U14" s="46"/>
    </row>
    <row r="15" spans="1:23" x14ac:dyDescent="0.35">
      <c r="A15" s="63" t="s">
        <v>49</v>
      </c>
      <c r="B15" s="64" t="s">
        <v>50</v>
      </c>
      <c r="C15" s="65" t="s">
        <v>51</v>
      </c>
      <c r="D15" s="53"/>
      <c r="E15" s="53"/>
      <c r="F15" s="54"/>
      <c r="G15" s="46"/>
      <c r="H15" s="46"/>
      <c r="I15" s="46"/>
      <c r="J15" s="46"/>
      <c r="K15" s="46"/>
      <c r="L15" s="46"/>
      <c r="M15" s="46"/>
      <c r="N15" s="46"/>
      <c r="O15" s="46"/>
      <c r="P15" s="46"/>
      <c r="Q15" s="46"/>
      <c r="R15" s="46"/>
      <c r="S15" s="46"/>
      <c r="T15" s="46"/>
      <c r="U15" s="46"/>
    </row>
    <row r="16" spans="1:23" x14ac:dyDescent="0.35">
      <c r="A16" s="63" t="s">
        <v>52</v>
      </c>
      <c r="B16" s="66">
        <v>3.5000000000000003E-2</v>
      </c>
      <c r="C16" s="64" t="s">
        <v>53</v>
      </c>
      <c r="D16" s="46"/>
      <c r="E16" s="46"/>
      <c r="F16" s="46"/>
      <c r="G16" s="46"/>
      <c r="H16" s="46"/>
      <c r="I16" s="46"/>
      <c r="J16" s="46"/>
      <c r="K16" s="46"/>
      <c r="L16" s="46"/>
      <c r="M16" s="46"/>
      <c r="N16" s="46"/>
      <c r="O16" s="46"/>
      <c r="P16" s="46"/>
      <c r="Q16" s="46"/>
      <c r="R16" s="46"/>
      <c r="S16" s="46"/>
      <c r="T16" s="46"/>
      <c r="U16" s="46"/>
    </row>
    <row r="17" spans="1:21" x14ac:dyDescent="0.35">
      <c r="A17" s="63" t="s">
        <v>54</v>
      </c>
      <c r="B17" s="66">
        <v>1.4999999999999999E-2</v>
      </c>
      <c r="C17" s="64" t="s">
        <v>53</v>
      </c>
      <c r="D17" s="46"/>
      <c r="E17" s="46"/>
      <c r="F17" s="46"/>
      <c r="G17" s="46"/>
      <c r="H17" s="46"/>
      <c r="I17" s="46"/>
      <c r="J17" s="46"/>
      <c r="K17" s="46"/>
      <c r="L17" s="46"/>
      <c r="M17" s="46"/>
      <c r="N17" s="46"/>
      <c r="O17" s="46"/>
      <c r="P17" s="46"/>
      <c r="Q17" s="46"/>
      <c r="R17" s="46"/>
      <c r="S17" s="46"/>
      <c r="T17" s="46"/>
      <c r="U17" s="46"/>
    </row>
    <row r="18" spans="1:21" x14ac:dyDescent="0.35">
      <c r="A18" s="63" t="s">
        <v>55</v>
      </c>
      <c r="B18" s="64">
        <v>300</v>
      </c>
      <c r="C18" s="46"/>
      <c r="D18" s="46"/>
      <c r="E18" s="46"/>
      <c r="F18" s="46"/>
      <c r="G18" s="46"/>
      <c r="H18" s="46"/>
      <c r="I18" s="46"/>
      <c r="J18" s="46"/>
      <c r="K18" s="46"/>
      <c r="L18" s="46"/>
      <c r="M18" s="46"/>
      <c r="N18" s="46"/>
      <c r="O18" s="46"/>
      <c r="P18" s="46"/>
      <c r="Q18" s="46"/>
      <c r="R18" s="46"/>
      <c r="S18" s="46"/>
      <c r="T18" s="46"/>
      <c r="U18" s="46"/>
    </row>
    <row r="19" spans="1:21" x14ac:dyDescent="0.35">
      <c r="A19" s="63" t="s">
        <v>56</v>
      </c>
      <c r="B19" s="64">
        <v>50</v>
      </c>
      <c r="C19" s="65" t="s">
        <v>57</v>
      </c>
      <c r="D19" s="53"/>
      <c r="E19" s="53"/>
      <c r="F19" s="53"/>
      <c r="G19" s="53"/>
      <c r="H19" s="53"/>
      <c r="I19" s="53"/>
      <c r="J19" s="54"/>
      <c r="K19" s="46"/>
      <c r="L19" s="46"/>
      <c r="M19" s="46"/>
      <c r="N19" s="46"/>
      <c r="O19" s="46"/>
      <c r="P19" s="46"/>
      <c r="Q19" s="46"/>
      <c r="R19" s="46"/>
      <c r="S19" s="46"/>
      <c r="T19" s="46"/>
      <c r="U19" s="46"/>
    </row>
    <row r="20" spans="1:21" x14ac:dyDescent="0.35">
      <c r="A20" s="63" t="s">
        <v>58</v>
      </c>
      <c r="B20" s="67">
        <v>0.02</v>
      </c>
      <c r="C20" s="68" t="s">
        <v>91</v>
      </c>
      <c r="D20" s="69"/>
      <c r="E20" s="69"/>
      <c r="F20" s="69"/>
      <c r="G20" s="69"/>
      <c r="H20" s="70"/>
      <c r="I20" s="46"/>
      <c r="J20" s="46"/>
      <c r="K20" s="46"/>
      <c r="L20" s="46"/>
      <c r="M20" s="46"/>
      <c r="N20" s="46"/>
      <c r="O20" s="46"/>
      <c r="P20" s="46"/>
      <c r="Q20" s="46"/>
      <c r="R20" s="46"/>
      <c r="S20" s="46"/>
      <c r="T20" s="46"/>
      <c r="U20" s="46"/>
    </row>
    <row r="21" spans="1:21" x14ac:dyDescent="0.35">
      <c r="A21" s="58" t="s">
        <v>59</v>
      </c>
      <c r="B21" s="71">
        <v>0.06</v>
      </c>
      <c r="C21" s="72" t="s">
        <v>53</v>
      </c>
      <c r="D21" s="46"/>
      <c r="E21" s="46"/>
      <c r="F21" s="46"/>
      <c r="G21" s="46"/>
      <c r="H21" s="46"/>
      <c r="I21" s="46"/>
      <c r="J21" s="46"/>
      <c r="K21" s="46"/>
      <c r="L21" s="46"/>
      <c r="M21" s="46"/>
      <c r="N21" s="46"/>
      <c r="O21" s="46"/>
      <c r="P21" s="46"/>
      <c r="Q21" s="46"/>
      <c r="R21" s="46"/>
      <c r="S21" s="46"/>
      <c r="T21" s="46"/>
      <c r="U21" s="46"/>
    </row>
    <row r="22" spans="1:21" x14ac:dyDescent="0.35">
      <c r="B22" s="46"/>
      <c r="C22" s="46"/>
      <c r="D22" s="46"/>
      <c r="E22" s="46"/>
      <c r="F22" s="46"/>
      <c r="G22" s="46"/>
      <c r="H22" s="46"/>
      <c r="I22" s="46"/>
      <c r="J22" s="46"/>
      <c r="K22" s="46"/>
      <c r="L22" s="46"/>
      <c r="M22" s="46"/>
      <c r="N22" s="46"/>
      <c r="O22" s="46"/>
      <c r="P22" s="46"/>
      <c r="Q22" s="46"/>
      <c r="R22" s="46"/>
      <c r="S22" s="46"/>
      <c r="T22" s="46"/>
      <c r="U22" s="46"/>
    </row>
    <row r="23" spans="1:21" x14ac:dyDescent="0.35">
      <c r="B23" s="46"/>
      <c r="C23" s="62"/>
      <c r="D23" s="46"/>
      <c r="E23" s="46"/>
      <c r="F23" s="46"/>
      <c r="G23" s="46"/>
      <c r="H23" s="46"/>
      <c r="I23" s="46"/>
      <c r="J23" s="46"/>
      <c r="K23" s="46"/>
      <c r="L23" s="46"/>
      <c r="M23" s="46"/>
      <c r="N23" s="46"/>
      <c r="O23" s="46"/>
      <c r="P23" s="46"/>
      <c r="Q23" s="46"/>
      <c r="R23" s="46"/>
      <c r="S23" s="73"/>
      <c r="T23" s="46"/>
      <c r="U23" s="46"/>
    </row>
    <row r="24" spans="1:21" x14ac:dyDescent="0.35">
      <c r="B24" s="46"/>
      <c r="C24" s="46"/>
      <c r="D24" s="46"/>
      <c r="E24" s="46"/>
      <c r="F24" s="46"/>
      <c r="G24" s="46"/>
      <c r="H24" s="46"/>
      <c r="I24" s="46"/>
      <c r="J24" s="46"/>
      <c r="K24" s="46"/>
      <c r="L24" s="46"/>
      <c r="M24" s="46"/>
      <c r="N24" s="46"/>
      <c r="O24" s="46"/>
      <c r="P24" s="46"/>
      <c r="Q24" s="46"/>
      <c r="R24" s="46"/>
      <c r="S24" s="46"/>
      <c r="T24" s="46"/>
      <c r="U24" s="46"/>
    </row>
    <row r="25" spans="1:21" x14ac:dyDescent="0.35">
      <c r="B25" s="46"/>
      <c r="C25" s="46"/>
      <c r="D25" s="46"/>
      <c r="E25" s="46"/>
      <c r="F25" s="46"/>
      <c r="G25" s="46"/>
      <c r="H25" s="46"/>
      <c r="I25" s="46"/>
      <c r="J25" s="46"/>
      <c r="K25" s="46"/>
      <c r="L25" s="46"/>
      <c r="M25" s="46"/>
      <c r="N25" s="46"/>
      <c r="O25" s="46"/>
      <c r="P25" s="46"/>
      <c r="Q25" s="46"/>
      <c r="R25" s="46"/>
      <c r="S25" s="46"/>
      <c r="T25" s="46"/>
      <c r="U25" s="46"/>
    </row>
    <row r="26" spans="1:21" x14ac:dyDescent="0.35">
      <c r="B26" s="46"/>
      <c r="C26" s="46"/>
      <c r="D26" s="46"/>
      <c r="E26" s="46"/>
      <c r="F26" s="46"/>
      <c r="G26" s="46"/>
      <c r="H26" s="46"/>
      <c r="I26" s="46"/>
      <c r="J26" s="46"/>
      <c r="K26" s="46"/>
      <c r="L26" s="46"/>
      <c r="M26" s="46"/>
      <c r="N26" s="46"/>
      <c r="O26" s="46"/>
      <c r="P26" s="46"/>
      <c r="Q26" s="46"/>
      <c r="R26" s="46"/>
      <c r="S26" s="46"/>
      <c r="T26" s="46"/>
      <c r="U26" s="46"/>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D9F350256FC04C9EF19E11D9C59124" ma:contentTypeVersion="16" ma:contentTypeDescription="Create a new document." ma:contentTypeScope="" ma:versionID="a1edf7eaa26769fbd3bb08dbe289970f">
  <xsd:schema xmlns:xsd="http://www.w3.org/2001/XMLSchema" xmlns:xs="http://www.w3.org/2001/XMLSchema" xmlns:p="http://schemas.microsoft.com/office/2006/metadata/properties" xmlns:ns2="a7e82283-17b9-4d2e-a750-27f219094220" xmlns:ns3="724395a5-9866-4f6b-88f5-95467eafe09f" targetNamespace="http://schemas.microsoft.com/office/2006/metadata/properties" ma:root="true" ma:fieldsID="b644364b1be0d0cf03ba45fdfaec10b1" ns2:_="" ns3:_="">
    <xsd:import namespace="a7e82283-17b9-4d2e-a750-27f219094220"/>
    <xsd:import namespace="724395a5-9866-4f6b-88f5-95467eafe0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e82283-17b9-4d2e-a750-27f2190942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2764dbc-7309-45b3-8ffb-b5aa3fc55a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4395a5-9866-4f6b-88f5-95467eafe09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6c3e70e-9e06-41d9-9fa0-227894058239}" ma:internalName="TaxCatchAll" ma:showField="CatchAllData" ma:web="724395a5-9866-4f6b-88f5-95467eafe0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7e82283-17b9-4d2e-a750-27f219094220">
      <Terms xmlns="http://schemas.microsoft.com/office/infopath/2007/PartnerControls"/>
    </lcf76f155ced4ddcb4097134ff3c332f>
    <TaxCatchAll xmlns="724395a5-9866-4f6b-88f5-95467eafe09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D85F84-79C2-4EA2-921B-4DAAC3ACA899}"/>
</file>

<file path=customXml/itemProps2.xml><?xml version="1.0" encoding="utf-8"?>
<ds:datastoreItem xmlns:ds="http://schemas.openxmlformats.org/officeDocument/2006/customXml" ds:itemID="{42AEBAEB-43D1-4B48-89CD-0F749DF06BC5}">
  <ds:schemaRefs>
    <ds:schemaRef ds:uri="http://schemas.microsoft.com/office/2006/metadata/properties"/>
    <ds:schemaRef ds:uri="http://schemas.microsoft.com/office/infopath/2007/PartnerControls"/>
    <ds:schemaRef ds:uri="051538e9-c694-450b-9056-83c8e7b681d1"/>
    <ds:schemaRef ds:uri="80348ba6-adcc-40fb-8576-6b95a36a3021"/>
  </ds:schemaRefs>
</ds:datastoreItem>
</file>

<file path=customXml/itemProps3.xml><?xml version="1.0" encoding="utf-8"?>
<ds:datastoreItem xmlns:ds="http://schemas.openxmlformats.org/officeDocument/2006/customXml" ds:itemID="{7A418A1E-4CCC-445C-8BC5-71439E982E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11</vt:i4>
      </vt:variant>
    </vt:vector>
  </HeadingPairs>
  <TitlesOfParts>
    <vt:vector size="30" baseType="lpstr">
      <vt:lpstr>Instructions</vt:lpstr>
      <vt:lpstr>Details</vt:lpstr>
      <vt:lpstr>Q1 (i)</vt:lpstr>
      <vt:lpstr>Q1 (ii)</vt:lpstr>
      <vt:lpstr>Q1 (iii)</vt:lpstr>
      <vt:lpstr>Q1 (iv)</vt:lpstr>
      <vt:lpstr>Q1 (v)</vt:lpstr>
      <vt:lpstr>Q1 Answers</vt:lpstr>
      <vt:lpstr>Q2 Policy info &amp; basis</vt:lpstr>
      <vt:lpstr>Q2 Mortality table</vt:lpstr>
      <vt:lpstr>Q2 (i)</vt:lpstr>
      <vt:lpstr>Q2 (ii)</vt:lpstr>
      <vt:lpstr>Q2 (iii)</vt:lpstr>
      <vt:lpstr>Q2 (iv)</vt:lpstr>
      <vt:lpstr>Q2 Answers</vt:lpstr>
      <vt:lpstr>Q3 (i)</vt:lpstr>
      <vt:lpstr>Q3 (ii) and (iii)</vt:lpstr>
      <vt:lpstr>Q3 (iv)</vt:lpstr>
      <vt:lpstr>Q3 Answers</vt:lpstr>
      <vt:lpstr>AR</vt:lpstr>
      <vt:lpstr>b</vt:lpstr>
      <vt:lpstr>f</vt:lpstr>
      <vt:lpstr>fmc</vt:lpstr>
      <vt:lpstr>g</vt:lpstr>
      <vt:lpstr>i</vt:lpstr>
      <vt:lpstr>ie</vt:lpstr>
      <vt:lpstr>P</vt:lpstr>
      <vt:lpstr>rdr</vt:lpstr>
      <vt:lpstr>re</vt:lpstr>
      <vt:lpst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Mitchell</dc:creator>
  <cp:lastModifiedBy>Emma Francis</cp:lastModifiedBy>
  <dcterms:created xsi:type="dcterms:W3CDTF">2017-10-20T14:10:12Z</dcterms:created>
  <dcterms:modified xsi:type="dcterms:W3CDTF">2024-07-01T15:34:30Z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0x010100BDC43C60E4A30943911717CC463D6A41</vt:lpwstr>
  </property>
  <property fmtid="{D5CDD505-2E9C-101B-9397-08002B2CF9AE}" pid="3" name="MediaServiceImageTags">
    <vt:lpwstr/>
  </property>
</Properties>
</file>